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a\Desktop\"/>
    </mc:Choice>
  </mc:AlternateContent>
  <xr:revisionPtr revIDLastSave="0" documentId="13_ncr:1_{764F2657-4A9C-40B4-91B9-F23E7913AFC3}" xr6:coauthVersionLast="47" xr6:coauthVersionMax="47" xr10:uidLastSave="{00000000-0000-0000-0000-000000000000}"/>
  <bookViews>
    <workbookView xWindow="30285" yWindow="585" windowWidth="12645" windowHeight="15480" xr2:uid="{00000000-000D-0000-FFFF-FFFF00000000}"/>
  </bookViews>
  <sheets>
    <sheet name="Trial Balance" sheetId="1" r:id="rId1"/>
  </sheets>
  <definedNames>
    <definedName name="_xlnm.Print_Area" localSheetId="0">'Trial Balance'!$A$1:$C$127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1" i="1" l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C84" i="1"/>
  <c r="C83" i="1"/>
  <c r="C82" i="1"/>
  <c r="B81" i="1"/>
  <c r="B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122" i="1" s="1"/>
  <c r="C50" i="1"/>
  <c r="C49" i="1"/>
  <c r="C48" i="1"/>
  <c r="C47" i="1"/>
  <c r="C46" i="1"/>
  <c r="B45" i="1"/>
  <c r="B44" i="1"/>
  <c r="C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122" i="1" s="1"/>
</calcChain>
</file>

<file path=xl/sharedStrings.xml><?xml version="1.0" encoding="utf-8"?>
<sst xmlns="http://schemas.openxmlformats.org/spreadsheetml/2006/main" count="123" uniqueCount="123">
  <si>
    <t>Debit</t>
  </si>
  <si>
    <t>Credit</t>
  </si>
  <si>
    <t>10200 Cash in Bank-2100725</t>
  </si>
  <si>
    <t>10205 Capital Expenditures Reserve</t>
  </si>
  <si>
    <t>10400 MM/Contingency Funds-128546</t>
  </si>
  <si>
    <t>10500 disbursement account for wwtp</t>
  </si>
  <si>
    <t>11000 Standby Fees-Receivable</t>
  </si>
  <si>
    <t>14000 Prepaid Expenses</t>
  </si>
  <si>
    <t>14700 Other Current Assets</t>
  </si>
  <si>
    <t>15000 Furniture &amp; Fixtures</t>
  </si>
  <si>
    <t>15100 Equipment</t>
  </si>
  <si>
    <t>15200 Fence</t>
  </si>
  <si>
    <t>15300 Water Treatment Facility</t>
  </si>
  <si>
    <t>15310 2004 Water Plant Expansion</t>
  </si>
  <si>
    <t>15315 Water Plant Computer Upgrade</t>
  </si>
  <si>
    <t>15320 Flowmeters</t>
  </si>
  <si>
    <t>15340 3-Phase Electrical Upgrade</t>
  </si>
  <si>
    <t>15350 2004 Water Storage Tank</t>
  </si>
  <si>
    <t>15355 Water Tank</t>
  </si>
  <si>
    <t>15360 WTP Recycling Project</t>
  </si>
  <si>
    <t>15370 WTP Recycle Project</t>
  </si>
  <si>
    <t>15380 Zebra Mussels</t>
  </si>
  <si>
    <t>15390 Ridge Harbor Interconnection</t>
  </si>
  <si>
    <t>15400 Improvements</t>
  </si>
  <si>
    <t>15401 Tennis Village Lift Station</t>
  </si>
  <si>
    <t>15402 Water Plant Generator</t>
  </si>
  <si>
    <t>15403 Security System - Water Plant</t>
  </si>
  <si>
    <t>15500 Building</t>
  </si>
  <si>
    <t>15600 Sewer Plant</t>
  </si>
  <si>
    <t>15610 Wastewater Recycling Project</t>
  </si>
  <si>
    <t>15650 Barge Replacement</t>
  </si>
  <si>
    <t>15700 Hydrotank Foundation</t>
  </si>
  <si>
    <t>15750 Boat</t>
  </si>
  <si>
    <t>15800 Decant Lagoon</t>
  </si>
  <si>
    <t>15850 2014 WW Treatment Plant</t>
  </si>
  <si>
    <t>16800 Total Land:Lot 253</t>
  </si>
  <si>
    <t>16900 Total Land:Land</t>
  </si>
  <si>
    <t>15900 Sewer Plant Bldg new</t>
  </si>
  <si>
    <t>15950 2007 Water Treatment Plant</t>
  </si>
  <si>
    <t>17000 Accum Capital Renewal &amp; Replace</t>
  </si>
  <si>
    <t>19000 Deposits</t>
  </si>
  <si>
    <t>19300 Standby Fees Delinquent</t>
  </si>
  <si>
    <t>20000 Accounts Payable</t>
  </si>
  <si>
    <t>23210 Other Current Liabilities</t>
  </si>
  <si>
    <t>24000 Other Taxes Payable</t>
  </si>
  <si>
    <t>24200 Current Portion Lng Trm D</t>
  </si>
  <si>
    <t>24700 Loan 17160100</t>
  </si>
  <si>
    <t>24800 N/P First Insurance Funding</t>
  </si>
  <si>
    <t>25000 Water &amp; Sewer Taxes Payable</t>
  </si>
  <si>
    <t>27100 Deferred Revenue-Standby Fees</t>
  </si>
  <si>
    <t>24900 Suspense Clearing Account</t>
  </si>
  <si>
    <t>27000 Note Payable WO POA</t>
  </si>
  <si>
    <t>27400 Current Portion Long Term Debt</t>
  </si>
  <si>
    <t>27500 Membership Fees Refundabl</t>
  </si>
  <si>
    <t>27600 Loan 17160100  Amer Bank</t>
  </si>
  <si>
    <t>27700 Current Portion Loan 1716</t>
  </si>
  <si>
    <t>27750 Loan ABT WWTP April 4 2014</t>
  </si>
  <si>
    <t>27755 Loan ABT WWTP2 July 11 2014</t>
  </si>
  <si>
    <t>27756 Loan COBank ACB Denver</t>
  </si>
  <si>
    <t>27757 Note Payable CoBank - Refinance</t>
  </si>
  <si>
    <t>27758 CoBank Loan Oct 2021</t>
  </si>
  <si>
    <t>27800 Def Revenue Standby Fees-Delinq</t>
  </si>
  <si>
    <t>39005 Retained Earnings</t>
  </si>
  <si>
    <t>40000-5 Standby Fees:Standby Fees - Water</t>
  </si>
  <si>
    <t>40000-6 Standby Fees:Standby Fees - Sewer</t>
  </si>
  <si>
    <t>40200-5 Water &amp; Sewer Services:Water Services</t>
  </si>
  <si>
    <t>40200-6 Water &amp; Sewer Services:Sewer Services</t>
  </si>
  <si>
    <t>40300-5 Late Charges:Late Charges - Water</t>
  </si>
  <si>
    <t>40300-6 Late Charges:Late Charges - Sewer</t>
  </si>
  <si>
    <t>40400-5 Membership Fees:Membership Fees - Water</t>
  </si>
  <si>
    <t>40400-6 Membership Fees:Membership Fees - Sewer</t>
  </si>
  <si>
    <t>40500-5 Equity Buy-in Fees:Equity Buy-In Fees - Water</t>
  </si>
  <si>
    <t>40500-6 Equity Buy-in Fees:Equity Buy-In Fees - Sewer</t>
  </si>
  <si>
    <t>40600-5 Water &amp; Sewer Taps:Water Taps</t>
  </si>
  <si>
    <t>40600-6 Water &amp; Sewer Taps:Sewer Taps</t>
  </si>
  <si>
    <t>40700-6 Sewer Line Damage Repair</t>
  </si>
  <si>
    <t>46600-5 Credits:Water Credit</t>
  </si>
  <si>
    <t>46600-6 Credits:Sewer Credit</t>
  </si>
  <si>
    <t>46700 Surcharge</t>
  </si>
  <si>
    <t>49900 Uncategorized Income</t>
  </si>
  <si>
    <t>Sales</t>
  </si>
  <si>
    <t>50000-5 COS-Operator:COS Operator - Water</t>
  </si>
  <si>
    <t>50000-6 COS-Operator:COS Operator - Sewer</t>
  </si>
  <si>
    <t>57500-5 COS-Electricity:COS Electricity -Water</t>
  </si>
  <si>
    <t>57500-6 COS-Electricity:COS Electricity -Sewer</t>
  </si>
  <si>
    <t>58000-5 COS-Sludge Removal:COS-Sludge Removal - Water</t>
  </si>
  <si>
    <t>58500 LCRA - Raw Water Fee</t>
  </si>
  <si>
    <t>58550-5 LCRA - Raw Water Fee:Raw Water Fee-water</t>
  </si>
  <si>
    <t>59000 COS-Lab Fees</t>
  </si>
  <si>
    <t>59000-5 COS-Lab Fees:COS Lab Fees- Water</t>
  </si>
  <si>
    <t>62000 Bank Charges</t>
  </si>
  <si>
    <t>62000-5 Bank Charges:Bank Charges - Water</t>
  </si>
  <si>
    <t>62000-6 Bank Charges:Bank Charges - Sewer</t>
  </si>
  <si>
    <t>62400-5 Bookkeeping:Bookkeeping - Water</t>
  </si>
  <si>
    <t>62400-6 Bookkeeping:Bookkeeping - Sewer</t>
  </si>
  <si>
    <t>62600-5 Billing Services:Billing - Water</t>
  </si>
  <si>
    <t>62600-6 Billing Services:Billing - Sewer</t>
  </si>
  <si>
    <t>62806-5 Total Contract Services:Consulting Fees - Water</t>
  </si>
  <si>
    <t>62806-6 Total Contract Services:Consulting Fees - Sewer</t>
  </si>
  <si>
    <t>63100-5 Legal/Appraisal:Lawsuit 2017/18-Water</t>
  </si>
  <si>
    <t>63100-6 Legal/Appraisal:Lawsuit 2017/18-Sewer</t>
  </si>
  <si>
    <t>63500-5 Dues &amp; Subscriptions:Dues/Subscriptions - Water</t>
  </si>
  <si>
    <t>63500-6 Dues &amp; Subscriptions:Dues/Subscriptions  - Sewer</t>
  </si>
  <si>
    <t>65500-5 Insurance:Insurance - Water</t>
  </si>
  <si>
    <t>65500-6 Insurance:Insurance - Sewer</t>
  </si>
  <si>
    <t>66500-5 Telephone and Internet:Telephone/Internet - Water</t>
  </si>
  <si>
    <t>66500-6 Telephone and Internet:Telephone/Internet - Sewer</t>
  </si>
  <si>
    <t>67000-5 Postage &amp; Shipping Expense:Postage &amp; Shipping - Water</t>
  </si>
  <si>
    <t>67000-6 Postage &amp; Shipping Expense:Postage &amp; Shipping - Sewer</t>
  </si>
  <si>
    <t>68500-5 Repairs &amp; Maintenance:Repairs &amp; Maintenance - Water</t>
  </si>
  <si>
    <t>68500-6 Repairs &amp; Maintenance:Repairs &amp; Maintenance - Sewer</t>
  </si>
  <si>
    <t>68600-5 Repair Parts:Repair Parts - Water</t>
  </si>
  <si>
    <t>68600-6 Repair Parts:Repair Parts - Sewer</t>
  </si>
  <si>
    <t>71500-5 Interest Expense:Interest Expense - Water</t>
  </si>
  <si>
    <t>71500-6 Interest Expense:Interest Expense - Sewer</t>
  </si>
  <si>
    <t>77500-5 Meetings/Conferences:Meetings/Conferences-Water</t>
  </si>
  <si>
    <t>77500-6 Meetings/Conferences:Meetings/Conferences-Sewer</t>
  </si>
  <si>
    <t>41000 Interest Income</t>
  </si>
  <si>
    <t>TOTAL</t>
  </si>
  <si>
    <t>Friday, Jul 26, 2024 06:47:39 AM GMT-7 - Accrual Basis</t>
  </si>
  <si>
    <t>Windermere Oaks Water Supply Corp</t>
  </si>
  <si>
    <t>Trial Balance</t>
  </si>
  <si>
    <t>As of May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</si>
</sst>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0" fontId="5" fillId="0" borderId="0" xfId="0" applyFont="1"/>
    <xf numFmtId="165" fontId="1" fillId="0" borderId="2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8"/>
  <sheetViews>
    <sheetView tabSelected="1" topLeftCell="A108" workbookViewId="0">
      <selection activeCell="E11" sqref="E11"/>
    </sheetView>
  </sheetViews>
  <sheetFormatPr defaultRowHeight="15" x14ac:dyDescent="0.25"/>
  <cols>
    <col min="1" max="1" width="50.42578125" customWidth="1"/>
    <col min="2" max="3" width="19.7109375" customWidth="1"/>
  </cols>
  <sheetData>
    <row r="1" spans="1:3" ht="18" x14ac:dyDescent="0.25">
      <c r="A1" s="10" t="s">
        <v>120</v>
      </c>
      <c r="B1" s="11"/>
      <c r="C1" s="11"/>
    </row>
    <row r="2" spans="1:3" ht="18" x14ac:dyDescent="0.25">
      <c r="A2" s="10" t="s">
        <v>121</v>
      </c>
      <c r="B2" s="11"/>
      <c r="C2" s="11"/>
    </row>
    <row r="3" spans="1:3" x14ac:dyDescent="0.25">
      <c r="A3" s="12" t="s">
        <v>122</v>
      </c>
      <c r="B3" s="11"/>
      <c r="C3" s="11"/>
    </row>
    <row r="5" spans="1:3" x14ac:dyDescent="0.25">
      <c r="A5" s="1"/>
      <c r="B5" s="2" t="s">
        <v>0</v>
      </c>
      <c r="C5" s="2" t="s">
        <v>1</v>
      </c>
    </row>
    <row r="6" spans="1:3" s="6" customFormat="1" ht="17.25" customHeight="1" x14ac:dyDescent="0.2">
      <c r="A6" s="3" t="s">
        <v>2</v>
      </c>
      <c r="B6" s="4">
        <f>178742.94</f>
        <v>178742.94</v>
      </c>
      <c r="C6" s="5"/>
    </row>
    <row r="7" spans="1:3" s="6" customFormat="1" ht="17.25" customHeight="1" x14ac:dyDescent="0.2">
      <c r="A7" s="3" t="s">
        <v>3</v>
      </c>
      <c r="B7" s="4">
        <f>41982.58</f>
        <v>41982.58</v>
      </c>
      <c r="C7" s="5"/>
    </row>
    <row r="8" spans="1:3" s="6" customFormat="1" ht="17.25" customHeight="1" x14ac:dyDescent="0.2">
      <c r="A8" s="3" t="s">
        <v>4</v>
      </c>
      <c r="B8" s="4">
        <f>153807.98</f>
        <v>153807.98000000001</v>
      </c>
      <c r="C8" s="5"/>
    </row>
    <row r="9" spans="1:3" s="6" customFormat="1" ht="17.25" customHeight="1" x14ac:dyDescent="0.2">
      <c r="A9" s="3" t="s">
        <v>5</v>
      </c>
      <c r="B9" s="4">
        <f>0</f>
        <v>0</v>
      </c>
      <c r="C9" s="5"/>
    </row>
    <row r="10" spans="1:3" s="6" customFormat="1" ht="17.25" customHeight="1" x14ac:dyDescent="0.2">
      <c r="A10" s="3" t="s">
        <v>6</v>
      </c>
      <c r="B10" s="4">
        <f>0</f>
        <v>0</v>
      </c>
      <c r="C10" s="5"/>
    </row>
    <row r="11" spans="1:3" s="6" customFormat="1" ht="17.25" customHeight="1" x14ac:dyDescent="0.2">
      <c r="A11" s="3" t="s">
        <v>7</v>
      </c>
      <c r="B11" s="4">
        <f>0</f>
        <v>0</v>
      </c>
      <c r="C11" s="5"/>
    </row>
    <row r="12" spans="1:3" s="6" customFormat="1" ht="17.25" customHeight="1" x14ac:dyDescent="0.2">
      <c r="A12" s="3" t="s">
        <v>8</v>
      </c>
      <c r="B12" s="4">
        <f>0</f>
        <v>0</v>
      </c>
      <c r="C12" s="5"/>
    </row>
    <row r="13" spans="1:3" s="6" customFormat="1" ht="17.25" customHeight="1" x14ac:dyDescent="0.2">
      <c r="A13" s="3" t="s">
        <v>9</v>
      </c>
      <c r="B13" s="4">
        <f>2572.62</f>
        <v>2572.62</v>
      </c>
      <c r="C13" s="5"/>
    </row>
    <row r="14" spans="1:3" s="6" customFormat="1" ht="17.25" customHeight="1" x14ac:dyDescent="0.2">
      <c r="A14" s="3" t="s">
        <v>10</v>
      </c>
      <c r="B14" s="4">
        <f>109418.15</f>
        <v>109418.15</v>
      </c>
      <c r="C14" s="5"/>
    </row>
    <row r="15" spans="1:3" s="6" customFormat="1" ht="17.25" customHeight="1" x14ac:dyDescent="0.2">
      <c r="A15" s="3" t="s">
        <v>11</v>
      </c>
      <c r="B15" s="4">
        <f>19017.66</f>
        <v>19017.66</v>
      </c>
      <c r="C15" s="5"/>
    </row>
    <row r="16" spans="1:3" s="6" customFormat="1" ht="17.25" customHeight="1" x14ac:dyDescent="0.2">
      <c r="A16" s="3" t="s">
        <v>12</v>
      </c>
      <c r="B16" s="4">
        <f>191994.2</f>
        <v>191994.2</v>
      </c>
      <c r="C16" s="5"/>
    </row>
    <row r="17" spans="1:3" s="6" customFormat="1" ht="17.25" customHeight="1" x14ac:dyDescent="0.2">
      <c r="A17" s="3" t="s">
        <v>13</v>
      </c>
      <c r="B17" s="4">
        <f>6500</f>
        <v>6500</v>
      </c>
      <c r="C17" s="5"/>
    </row>
    <row r="18" spans="1:3" s="6" customFormat="1" ht="17.25" customHeight="1" x14ac:dyDescent="0.2">
      <c r="A18" s="3" t="s">
        <v>14</v>
      </c>
      <c r="B18" s="4">
        <f>14861.5</f>
        <v>14861.5</v>
      </c>
      <c r="C18" s="5"/>
    </row>
    <row r="19" spans="1:3" s="6" customFormat="1" ht="17.25" customHeight="1" x14ac:dyDescent="0.2">
      <c r="A19" s="3" t="s">
        <v>15</v>
      </c>
      <c r="B19" s="4">
        <f>28478.67</f>
        <v>28478.67</v>
      </c>
      <c r="C19" s="5"/>
    </row>
    <row r="20" spans="1:3" s="6" customFormat="1" ht="17.25" customHeight="1" x14ac:dyDescent="0.2">
      <c r="A20" s="3" t="s">
        <v>16</v>
      </c>
      <c r="B20" s="4">
        <f>8699</f>
        <v>8699</v>
      </c>
      <c r="C20" s="5"/>
    </row>
    <row r="21" spans="1:3" s="6" customFormat="1" ht="17.25" customHeight="1" x14ac:dyDescent="0.2">
      <c r="A21" s="3" t="s">
        <v>17</v>
      </c>
      <c r="B21" s="4">
        <f>75574.95</f>
        <v>75574.95</v>
      </c>
      <c r="C21" s="5"/>
    </row>
    <row r="22" spans="1:3" s="6" customFormat="1" ht="17.25" customHeight="1" x14ac:dyDescent="0.2">
      <c r="A22" s="3" t="s">
        <v>18</v>
      </c>
      <c r="B22" s="4">
        <f>225047.22</f>
        <v>225047.22</v>
      </c>
      <c r="C22" s="5"/>
    </row>
    <row r="23" spans="1:3" s="6" customFormat="1" ht="17.25" customHeight="1" x14ac:dyDescent="0.2">
      <c r="A23" s="3" t="s">
        <v>19</v>
      </c>
      <c r="B23" s="4">
        <f>28417.99</f>
        <v>28417.99</v>
      </c>
      <c r="C23" s="5"/>
    </row>
    <row r="24" spans="1:3" s="6" customFormat="1" ht="17.25" customHeight="1" x14ac:dyDescent="0.2">
      <c r="A24" s="3" t="s">
        <v>20</v>
      </c>
      <c r="B24" s="4">
        <f>4048.63</f>
        <v>4048.63</v>
      </c>
      <c r="C24" s="5"/>
    </row>
    <row r="25" spans="1:3" s="6" customFormat="1" ht="17.25" customHeight="1" x14ac:dyDescent="0.2">
      <c r="A25" s="3" t="s">
        <v>21</v>
      </c>
      <c r="B25" s="4">
        <f>58286.62</f>
        <v>58286.62</v>
      </c>
      <c r="C25" s="5"/>
    </row>
    <row r="26" spans="1:3" s="6" customFormat="1" ht="17.25" customHeight="1" x14ac:dyDescent="0.2">
      <c r="A26" s="3" t="s">
        <v>22</v>
      </c>
      <c r="B26" s="4">
        <f>8983.77</f>
        <v>8983.77</v>
      </c>
      <c r="C26" s="5"/>
    </row>
    <row r="27" spans="1:3" s="6" customFormat="1" ht="17.25" customHeight="1" x14ac:dyDescent="0.2">
      <c r="A27" s="3" t="s">
        <v>23</v>
      </c>
      <c r="B27" s="4">
        <f>48288.96</f>
        <v>48288.959999999999</v>
      </c>
      <c r="C27" s="5"/>
    </row>
    <row r="28" spans="1:3" s="6" customFormat="1" ht="17.25" customHeight="1" x14ac:dyDescent="0.2">
      <c r="A28" s="3" t="s">
        <v>24</v>
      </c>
      <c r="B28" s="4">
        <f>59341.9</f>
        <v>59341.9</v>
      </c>
      <c r="C28" s="5"/>
    </row>
    <row r="29" spans="1:3" s="6" customFormat="1" ht="17.25" customHeight="1" x14ac:dyDescent="0.2">
      <c r="A29" s="3" t="s">
        <v>25</v>
      </c>
      <c r="B29" s="4">
        <f>88715.03</f>
        <v>88715.03</v>
      </c>
      <c r="C29" s="5"/>
    </row>
    <row r="30" spans="1:3" s="6" customFormat="1" ht="17.25" customHeight="1" x14ac:dyDescent="0.2">
      <c r="A30" s="3" t="s">
        <v>26</v>
      </c>
      <c r="B30" s="4">
        <f>11008.04</f>
        <v>11008.04</v>
      </c>
      <c r="C30" s="5"/>
    </row>
    <row r="31" spans="1:3" s="6" customFormat="1" ht="17.25" customHeight="1" x14ac:dyDescent="0.2">
      <c r="A31" s="3" t="s">
        <v>27</v>
      </c>
      <c r="B31" s="4">
        <f>3377.58</f>
        <v>3377.58</v>
      </c>
      <c r="C31" s="5"/>
    </row>
    <row r="32" spans="1:3" s="6" customFormat="1" ht="17.25" customHeight="1" x14ac:dyDescent="0.2">
      <c r="A32" s="3" t="s">
        <v>28</v>
      </c>
      <c r="B32" s="4">
        <f>125233.87</f>
        <v>125233.87</v>
      </c>
      <c r="C32" s="5"/>
    </row>
    <row r="33" spans="1:3" s="6" customFormat="1" ht="17.25" customHeight="1" x14ac:dyDescent="0.2">
      <c r="A33" s="3" t="s">
        <v>29</v>
      </c>
      <c r="B33" s="4">
        <f>28184.08</f>
        <v>28184.080000000002</v>
      </c>
      <c r="C33" s="5"/>
    </row>
    <row r="34" spans="1:3" s="6" customFormat="1" ht="17.25" customHeight="1" x14ac:dyDescent="0.2">
      <c r="A34" s="3" t="s">
        <v>30</v>
      </c>
      <c r="B34" s="4">
        <f>652.27</f>
        <v>652.27</v>
      </c>
      <c r="C34" s="5"/>
    </row>
    <row r="35" spans="1:3" s="6" customFormat="1" ht="17.25" customHeight="1" x14ac:dyDescent="0.2">
      <c r="A35" s="3" t="s">
        <v>31</v>
      </c>
      <c r="B35" s="4">
        <f>9599.19</f>
        <v>9599.19</v>
      </c>
      <c r="C35" s="5"/>
    </row>
    <row r="36" spans="1:3" s="6" customFormat="1" ht="17.25" customHeight="1" x14ac:dyDescent="0.2">
      <c r="A36" s="3" t="s">
        <v>32</v>
      </c>
      <c r="B36" s="4">
        <f>4000</f>
        <v>4000</v>
      </c>
      <c r="C36" s="5"/>
    </row>
    <row r="37" spans="1:3" s="6" customFormat="1" ht="17.25" customHeight="1" x14ac:dyDescent="0.2">
      <c r="A37" s="3" t="s">
        <v>33</v>
      </c>
      <c r="B37" s="4">
        <f>18475.51</f>
        <v>18475.509999999998</v>
      </c>
      <c r="C37" s="5"/>
    </row>
    <row r="38" spans="1:3" s="6" customFormat="1" ht="17.25" customHeight="1" x14ac:dyDescent="0.2">
      <c r="A38" s="3" t="s">
        <v>34</v>
      </c>
      <c r="B38" s="4">
        <f>788648.35</f>
        <v>788648.35</v>
      </c>
      <c r="C38" s="5"/>
    </row>
    <row r="39" spans="1:3" s="6" customFormat="1" ht="17.25" customHeight="1" x14ac:dyDescent="0.2">
      <c r="A39" s="3" t="s">
        <v>35</v>
      </c>
      <c r="B39" s="4">
        <f>6403.75</f>
        <v>6403.75</v>
      </c>
      <c r="C39" s="5"/>
    </row>
    <row r="40" spans="1:3" s="6" customFormat="1" ht="17.25" customHeight="1" x14ac:dyDescent="0.2">
      <c r="A40" s="3" t="s">
        <v>36</v>
      </c>
      <c r="B40" s="4">
        <f>54705.69</f>
        <v>54705.69</v>
      </c>
      <c r="C40" s="5"/>
    </row>
    <row r="41" spans="1:3" s="6" customFormat="1" ht="17.25" customHeight="1" x14ac:dyDescent="0.2">
      <c r="A41" s="3" t="s">
        <v>37</v>
      </c>
      <c r="B41" s="4">
        <f>18277.7</f>
        <v>18277.7</v>
      </c>
      <c r="C41" s="5"/>
    </row>
    <row r="42" spans="1:3" s="6" customFormat="1" ht="17.25" customHeight="1" x14ac:dyDescent="0.2">
      <c r="A42" s="3" t="s">
        <v>38</v>
      </c>
      <c r="B42" s="4">
        <f>679210.33</f>
        <v>679210.33</v>
      </c>
      <c r="C42" s="5"/>
    </row>
    <row r="43" spans="1:3" s="6" customFormat="1" ht="17.25" customHeight="1" x14ac:dyDescent="0.2">
      <c r="A43" s="3" t="s">
        <v>39</v>
      </c>
      <c r="B43" s="5"/>
      <c r="C43" s="4">
        <f>1213928.22</f>
        <v>1213928.22</v>
      </c>
    </row>
    <row r="44" spans="1:3" s="6" customFormat="1" ht="17.25" customHeight="1" x14ac:dyDescent="0.2">
      <c r="A44" s="3" t="s">
        <v>40</v>
      </c>
      <c r="B44" s="4">
        <f>0</f>
        <v>0</v>
      </c>
      <c r="C44" s="5"/>
    </row>
    <row r="45" spans="1:3" s="6" customFormat="1" ht="17.25" customHeight="1" x14ac:dyDescent="0.2">
      <c r="A45" s="3" t="s">
        <v>41</v>
      </c>
      <c r="B45" s="4">
        <f>0</f>
        <v>0</v>
      </c>
      <c r="C45" s="5"/>
    </row>
    <row r="46" spans="1:3" s="6" customFormat="1" ht="17.25" customHeight="1" x14ac:dyDescent="0.2">
      <c r="A46" s="3" t="s">
        <v>42</v>
      </c>
      <c r="B46" s="5"/>
      <c r="C46" s="4">
        <f>46969.32</f>
        <v>46969.32</v>
      </c>
    </row>
    <row r="47" spans="1:3" s="6" customFormat="1" ht="17.25" customHeight="1" x14ac:dyDescent="0.2">
      <c r="A47" s="3" t="s">
        <v>43</v>
      </c>
      <c r="B47" s="5"/>
      <c r="C47" s="4">
        <f>0</f>
        <v>0</v>
      </c>
    </row>
    <row r="48" spans="1:3" s="6" customFormat="1" ht="17.25" customHeight="1" x14ac:dyDescent="0.2">
      <c r="A48" s="3" t="s">
        <v>44</v>
      </c>
      <c r="B48" s="5"/>
      <c r="C48" s="4">
        <f>0</f>
        <v>0</v>
      </c>
    </row>
    <row r="49" spans="1:3" s="6" customFormat="1" ht="17.25" customHeight="1" x14ac:dyDescent="0.2">
      <c r="A49" s="3" t="s">
        <v>45</v>
      </c>
      <c r="B49" s="5"/>
      <c r="C49" s="4">
        <f>0</f>
        <v>0</v>
      </c>
    </row>
    <row r="50" spans="1:3" s="6" customFormat="1" ht="17.25" customHeight="1" x14ac:dyDescent="0.2">
      <c r="A50" s="3" t="s">
        <v>46</v>
      </c>
      <c r="B50" s="5"/>
      <c r="C50" s="4">
        <f>0</f>
        <v>0</v>
      </c>
    </row>
    <row r="51" spans="1:3" s="6" customFormat="1" ht="17.25" customHeight="1" x14ac:dyDescent="0.2">
      <c r="A51" s="3" t="s">
        <v>47</v>
      </c>
      <c r="B51" s="5"/>
      <c r="C51" s="4">
        <f>0</f>
        <v>0</v>
      </c>
    </row>
    <row r="52" spans="1:3" s="6" customFormat="1" ht="17.25" customHeight="1" x14ac:dyDescent="0.2">
      <c r="A52" s="3" t="s">
        <v>48</v>
      </c>
      <c r="B52" s="5"/>
      <c r="C52" s="4">
        <f>7247.06</f>
        <v>7247.06</v>
      </c>
    </row>
    <row r="53" spans="1:3" s="6" customFormat="1" ht="17.25" customHeight="1" x14ac:dyDescent="0.2">
      <c r="A53" s="3" t="s">
        <v>49</v>
      </c>
      <c r="B53" s="5"/>
      <c r="C53" s="4">
        <f>0</f>
        <v>0</v>
      </c>
    </row>
    <row r="54" spans="1:3" s="6" customFormat="1" ht="17.25" customHeight="1" x14ac:dyDescent="0.2">
      <c r="A54" s="3" t="s">
        <v>50</v>
      </c>
      <c r="B54" s="5"/>
      <c r="C54" s="4">
        <f>0</f>
        <v>0</v>
      </c>
    </row>
    <row r="55" spans="1:3" s="6" customFormat="1" ht="17.25" customHeight="1" x14ac:dyDescent="0.2">
      <c r="A55" s="3" t="s">
        <v>51</v>
      </c>
      <c r="B55" s="5"/>
      <c r="C55" s="4">
        <f>0</f>
        <v>0</v>
      </c>
    </row>
    <row r="56" spans="1:3" s="6" customFormat="1" ht="17.25" customHeight="1" x14ac:dyDescent="0.2">
      <c r="A56" s="3" t="s">
        <v>52</v>
      </c>
      <c r="B56" s="5"/>
      <c r="C56" s="4">
        <f>0</f>
        <v>0</v>
      </c>
    </row>
    <row r="57" spans="1:3" s="6" customFormat="1" ht="17.25" customHeight="1" x14ac:dyDescent="0.2">
      <c r="A57" s="3" t="s">
        <v>53</v>
      </c>
      <c r="B57" s="5"/>
      <c r="C57" s="4">
        <f>9436.63</f>
        <v>9436.6299999999992</v>
      </c>
    </row>
    <row r="58" spans="1:3" s="6" customFormat="1" ht="17.25" customHeight="1" x14ac:dyDescent="0.2">
      <c r="A58" s="3" t="s">
        <v>54</v>
      </c>
      <c r="B58" s="5"/>
      <c r="C58" s="4">
        <f>0</f>
        <v>0</v>
      </c>
    </row>
    <row r="59" spans="1:3" s="6" customFormat="1" ht="17.25" customHeight="1" x14ac:dyDescent="0.2">
      <c r="A59" s="3" t="s">
        <v>55</v>
      </c>
      <c r="B59" s="5"/>
      <c r="C59" s="4">
        <f>0</f>
        <v>0</v>
      </c>
    </row>
    <row r="60" spans="1:3" s="6" customFormat="1" ht="17.25" customHeight="1" x14ac:dyDescent="0.2">
      <c r="A60" s="3" t="s">
        <v>56</v>
      </c>
      <c r="B60" s="5"/>
      <c r="C60" s="4">
        <f>0</f>
        <v>0</v>
      </c>
    </row>
    <row r="61" spans="1:3" s="6" customFormat="1" ht="17.25" customHeight="1" x14ac:dyDescent="0.2">
      <c r="A61" s="3" t="s">
        <v>57</v>
      </c>
      <c r="B61" s="5"/>
      <c r="C61" s="4">
        <f>0</f>
        <v>0</v>
      </c>
    </row>
    <row r="62" spans="1:3" s="6" customFormat="1" ht="17.25" customHeight="1" x14ac:dyDescent="0.2">
      <c r="A62" s="3" t="s">
        <v>58</v>
      </c>
      <c r="B62" s="5"/>
      <c r="C62" s="4">
        <f>130279.42</f>
        <v>130279.42</v>
      </c>
    </row>
    <row r="63" spans="1:3" s="6" customFormat="1" ht="17.25" customHeight="1" x14ac:dyDescent="0.2">
      <c r="A63" s="3" t="s">
        <v>59</v>
      </c>
      <c r="B63" s="5"/>
      <c r="C63" s="4">
        <f>162601.43</f>
        <v>162601.43</v>
      </c>
    </row>
    <row r="64" spans="1:3" s="6" customFormat="1" ht="17.25" customHeight="1" x14ac:dyDescent="0.2">
      <c r="A64" s="3" t="s">
        <v>60</v>
      </c>
      <c r="B64" s="5"/>
      <c r="C64" s="4">
        <f>272553.86</f>
        <v>272553.86</v>
      </c>
    </row>
    <row r="65" spans="1:3" s="6" customFormat="1" ht="17.25" customHeight="1" x14ac:dyDescent="0.2">
      <c r="A65" s="3" t="s">
        <v>61</v>
      </c>
      <c r="B65" s="5"/>
      <c r="C65" s="4">
        <f>0</f>
        <v>0</v>
      </c>
    </row>
    <row r="66" spans="1:3" s="6" customFormat="1" ht="17.25" customHeight="1" x14ac:dyDescent="0.2">
      <c r="A66" s="3" t="s">
        <v>62</v>
      </c>
      <c r="B66" s="5"/>
      <c r="C66" s="4">
        <f>1239332.61</f>
        <v>1239332.6100000001</v>
      </c>
    </row>
    <row r="67" spans="1:3" s="6" customFormat="1" ht="17.25" customHeight="1" x14ac:dyDescent="0.2">
      <c r="A67" s="3" t="s">
        <v>63</v>
      </c>
      <c r="B67" s="5"/>
      <c r="C67" s="4">
        <f>16594.19</f>
        <v>16594.189999999999</v>
      </c>
    </row>
    <row r="68" spans="1:3" s="6" customFormat="1" ht="17.25" customHeight="1" x14ac:dyDescent="0.2">
      <c r="A68" s="3" t="s">
        <v>64</v>
      </c>
      <c r="B68" s="5"/>
      <c r="C68" s="4">
        <f>10384.19</f>
        <v>10384.19</v>
      </c>
    </row>
    <row r="69" spans="1:3" s="6" customFormat="1" ht="17.25" customHeight="1" x14ac:dyDescent="0.2">
      <c r="A69" s="3" t="s">
        <v>65</v>
      </c>
      <c r="B69" s="5"/>
      <c r="C69" s="4">
        <f>129050.29</f>
        <v>129050.29</v>
      </c>
    </row>
    <row r="70" spans="1:3" s="6" customFormat="1" ht="17.25" customHeight="1" x14ac:dyDescent="0.2">
      <c r="A70" s="3" t="s">
        <v>66</v>
      </c>
      <c r="B70" s="5"/>
      <c r="C70" s="4">
        <f>88724.31</f>
        <v>88724.31</v>
      </c>
    </row>
    <row r="71" spans="1:3" s="6" customFormat="1" ht="17.25" customHeight="1" x14ac:dyDescent="0.2">
      <c r="A71" s="3" t="s">
        <v>67</v>
      </c>
      <c r="B71" s="5"/>
      <c r="C71" s="4">
        <f>2104.46</f>
        <v>2104.46</v>
      </c>
    </row>
    <row r="72" spans="1:3" s="6" customFormat="1" ht="17.25" customHeight="1" x14ac:dyDescent="0.2">
      <c r="A72" s="3" t="s">
        <v>68</v>
      </c>
      <c r="B72" s="5"/>
      <c r="C72" s="4">
        <f>1391.79</f>
        <v>1391.79</v>
      </c>
    </row>
    <row r="73" spans="1:3" s="6" customFormat="1" ht="17.25" customHeight="1" x14ac:dyDescent="0.2">
      <c r="A73" s="3" t="s">
        <v>69</v>
      </c>
      <c r="B73" s="5"/>
      <c r="C73" s="4">
        <f>1006.25</f>
        <v>1006.25</v>
      </c>
    </row>
    <row r="74" spans="1:3" s="6" customFormat="1" ht="17.25" customHeight="1" x14ac:dyDescent="0.2">
      <c r="A74" s="3" t="s">
        <v>70</v>
      </c>
      <c r="B74" s="5"/>
      <c r="C74" s="4">
        <f>1006.25</f>
        <v>1006.25</v>
      </c>
    </row>
    <row r="75" spans="1:3" s="6" customFormat="1" ht="17.25" customHeight="1" x14ac:dyDescent="0.2">
      <c r="A75" s="3" t="s">
        <v>71</v>
      </c>
      <c r="B75" s="5"/>
      <c r="C75" s="4">
        <f>6900</f>
        <v>6900</v>
      </c>
    </row>
    <row r="76" spans="1:3" s="6" customFormat="1" ht="17.25" customHeight="1" x14ac:dyDescent="0.2">
      <c r="A76" s="3" t="s">
        <v>72</v>
      </c>
      <c r="B76" s="5"/>
      <c r="C76" s="4">
        <f>6900</f>
        <v>6900</v>
      </c>
    </row>
    <row r="77" spans="1:3" s="6" customFormat="1" ht="17.25" customHeight="1" x14ac:dyDescent="0.2">
      <c r="A77" s="3" t="s">
        <v>73</v>
      </c>
      <c r="B77" s="5"/>
      <c r="C77" s="4">
        <f>2587.5</f>
        <v>2587.5</v>
      </c>
    </row>
    <row r="78" spans="1:3" s="6" customFormat="1" ht="17.25" customHeight="1" x14ac:dyDescent="0.2">
      <c r="A78" s="3" t="s">
        <v>74</v>
      </c>
      <c r="B78" s="5"/>
      <c r="C78" s="4">
        <f>2587.5</f>
        <v>2587.5</v>
      </c>
    </row>
    <row r="79" spans="1:3" s="6" customFormat="1" ht="17.25" customHeight="1" x14ac:dyDescent="0.2">
      <c r="A79" s="3" t="s">
        <v>75</v>
      </c>
      <c r="B79" s="5"/>
      <c r="C79" s="4">
        <f>800</f>
        <v>800</v>
      </c>
    </row>
    <row r="80" spans="1:3" s="6" customFormat="1" ht="17.25" customHeight="1" x14ac:dyDescent="0.2">
      <c r="A80" s="3" t="s">
        <v>76</v>
      </c>
      <c r="B80" s="4">
        <f>23772.31</f>
        <v>23772.31</v>
      </c>
      <c r="C80" s="5"/>
    </row>
    <row r="81" spans="1:3" s="6" customFormat="1" ht="17.25" customHeight="1" x14ac:dyDescent="0.2">
      <c r="A81" s="3" t="s">
        <v>77</v>
      </c>
      <c r="B81" s="4">
        <f>16496.79</f>
        <v>16496.79</v>
      </c>
      <c r="C81" s="5"/>
    </row>
    <row r="82" spans="1:3" s="6" customFormat="1" ht="17.25" customHeight="1" x14ac:dyDescent="0.2">
      <c r="A82" s="3" t="s">
        <v>78</v>
      </c>
      <c r="B82" s="5"/>
      <c r="C82" s="4">
        <f>21813.72</f>
        <v>21813.72</v>
      </c>
    </row>
    <row r="83" spans="1:3" s="6" customFormat="1" ht="17.25" customHeight="1" x14ac:dyDescent="0.2">
      <c r="A83" s="3" t="s">
        <v>79</v>
      </c>
      <c r="B83" s="5"/>
      <c r="C83" s="4">
        <f>3558.01</f>
        <v>3558.01</v>
      </c>
    </row>
    <row r="84" spans="1:3" s="6" customFormat="1" ht="17.25" customHeight="1" x14ac:dyDescent="0.2">
      <c r="A84" s="3" t="s">
        <v>80</v>
      </c>
      <c r="B84" s="5"/>
      <c r="C84" s="4">
        <f>37000.85</f>
        <v>37000.85</v>
      </c>
    </row>
    <row r="85" spans="1:3" s="6" customFormat="1" ht="17.25" customHeight="1" x14ac:dyDescent="0.2">
      <c r="A85" s="3" t="s">
        <v>81</v>
      </c>
      <c r="B85" s="4">
        <f>74009.61</f>
        <v>74009.61</v>
      </c>
      <c r="C85" s="5"/>
    </row>
    <row r="86" spans="1:3" s="6" customFormat="1" ht="17.25" customHeight="1" x14ac:dyDescent="0.2">
      <c r="A86" s="3" t="s">
        <v>82</v>
      </c>
      <c r="B86" s="4">
        <f>62649.85</f>
        <v>62649.85</v>
      </c>
      <c r="C86" s="5"/>
    </row>
    <row r="87" spans="1:3" s="6" customFormat="1" ht="17.25" customHeight="1" x14ac:dyDescent="0.2">
      <c r="A87" s="3" t="s">
        <v>83</v>
      </c>
      <c r="B87" s="4">
        <f>6035.51</f>
        <v>6035.51</v>
      </c>
      <c r="C87" s="5"/>
    </row>
    <row r="88" spans="1:3" s="6" customFormat="1" ht="17.25" customHeight="1" x14ac:dyDescent="0.2">
      <c r="A88" s="3" t="s">
        <v>84</v>
      </c>
      <c r="B88" s="4">
        <f>5454.34</f>
        <v>5454.34</v>
      </c>
      <c r="C88" s="5"/>
    </row>
    <row r="89" spans="1:3" s="6" customFormat="1" ht="17.25" customHeight="1" x14ac:dyDescent="0.2">
      <c r="A89" s="3" t="s">
        <v>85</v>
      </c>
      <c r="B89" s="4">
        <f>2099.09</f>
        <v>2099.09</v>
      </c>
      <c r="C89" s="5"/>
    </row>
    <row r="90" spans="1:3" s="6" customFormat="1" ht="17.25" customHeight="1" x14ac:dyDescent="0.2">
      <c r="A90" s="3" t="s">
        <v>86</v>
      </c>
      <c r="B90" s="4">
        <f>3339.31</f>
        <v>3339.31</v>
      </c>
      <c r="C90" s="5"/>
    </row>
    <row r="91" spans="1:3" s="6" customFormat="1" ht="17.25" customHeight="1" x14ac:dyDescent="0.2">
      <c r="A91" s="3" t="s">
        <v>87</v>
      </c>
      <c r="B91" s="4">
        <f>4000.98</f>
        <v>4000.98</v>
      </c>
      <c r="C91" s="5"/>
    </row>
    <row r="92" spans="1:3" s="6" customFormat="1" ht="17.25" customHeight="1" x14ac:dyDescent="0.2">
      <c r="A92" s="3" t="s">
        <v>88</v>
      </c>
      <c r="B92" s="4">
        <f>849.75</f>
        <v>849.75</v>
      </c>
      <c r="C92" s="5"/>
    </row>
    <row r="93" spans="1:3" s="6" customFormat="1" ht="17.25" customHeight="1" x14ac:dyDescent="0.2">
      <c r="A93" s="3" t="s">
        <v>89</v>
      </c>
      <c r="B93" s="4">
        <f>1208</f>
        <v>1208</v>
      </c>
      <c r="C93" s="5"/>
    </row>
    <row r="94" spans="1:3" s="6" customFormat="1" ht="17.25" customHeight="1" x14ac:dyDescent="0.2">
      <c r="A94" s="3" t="s">
        <v>90</v>
      </c>
      <c r="B94" s="4">
        <f>224.18</f>
        <v>224.18</v>
      </c>
      <c r="C94" s="5"/>
    </row>
    <row r="95" spans="1:3" s="6" customFormat="1" ht="17.25" customHeight="1" x14ac:dyDescent="0.2">
      <c r="A95" s="3" t="s">
        <v>91</v>
      </c>
      <c r="B95" s="4">
        <f>2040.1</f>
        <v>2040.1</v>
      </c>
      <c r="C95" s="5"/>
    </row>
    <row r="96" spans="1:3" s="6" customFormat="1" ht="17.25" customHeight="1" x14ac:dyDescent="0.2">
      <c r="A96" s="3" t="s">
        <v>92</v>
      </c>
      <c r="B96" s="4">
        <f>2040.08</f>
        <v>2040.08</v>
      </c>
      <c r="C96" s="5"/>
    </row>
    <row r="97" spans="1:3" s="6" customFormat="1" ht="17.25" customHeight="1" x14ac:dyDescent="0.2">
      <c r="A97" s="3" t="s">
        <v>93</v>
      </c>
      <c r="B97" s="4">
        <f>2570</f>
        <v>2570</v>
      </c>
      <c r="C97" s="5"/>
    </row>
    <row r="98" spans="1:3" s="6" customFormat="1" ht="17.25" customHeight="1" x14ac:dyDescent="0.2">
      <c r="A98" s="3" t="s">
        <v>94</v>
      </c>
      <c r="B98" s="4">
        <f>2330</f>
        <v>2330</v>
      </c>
      <c r="C98" s="5"/>
    </row>
    <row r="99" spans="1:3" s="6" customFormat="1" ht="17.25" customHeight="1" x14ac:dyDescent="0.2">
      <c r="A99" s="3" t="s">
        <v>95</v>
      </c>
      <c r="B99" s="4">
        <f>9397.91</f>
        <v>9397.91</v>
      </c>
      <c r="C99" s="5"/>
    </row>
    <row r="100" spans="1:3" s="6" customFormat="1" ht="17.25" customHeight="1" x14ac:dyDescent="0.2">
      <c r="A100" s="3" t="s">
        <v>96</v>
      </c>
      <c r="B100" s="4">
        <f>6265.29</f>
        <v>6265.29</v>
      </c>
      <c r="C100" s="5"/>
    </row>
    <row r="101" spans="1:3" s="6" customFormat="1" ht="17.25" customHeight="1" x14ac:dyDescent="0.2">
      <c r="A101" s="3" t="s">
        <v>97</v>
      </c>
      <c r="B101" s="4">
        <f>17099.25</f>
        <v>17099.25</v>
      </c>
      <c r="C101" s="5"/>
    </row>
    <row r="102" spans="1:3" s="6" customFormat="1" ht="17.25" customHeight="1" x14ac:dyDescent="0.2">
      <c r="A102" s="3" t="s">
        <v>98</v>
      </c>
      <c r="B102" s="4">
        <f>17099.25</f>
        <v>17099.25</v>
      </c>
      <c r="C102" s="5"/>
    </row>
    <row r="103" spans="1:3" s="6" customFormat="1" ht="17.25" customHeight="1" x14ac:dyDescent="0.2">
      <c r="A103" s="3" t="s">
        <v>99</v>
      </c>
      <c r="B103" s="4">
        <f>243.13</f>
        <v>243.13</v>
      </c>
      <c r="C103" s="5"/>
    </row>
    <row r="104" spans="1:3" s="6" customFormat="1" ht="17.25" customHeight="1" x14ac:dyDescent="0.2">
      <c r="A104" s="3" t="s">
        <v>100</v>
      </c>
      <c r="B104" s="4">
        <f>162.08</f>
        <v>162.08000000000001</v>
      </c>
      <c r="C104" s="5"/>
    </row>
    <row r="105" spans="1:3" s="6" customFormat="1" ht="17.25" customHeight="1" x14ac:dyDescent="0.2">
      <c r="A105" s="3" t="s">
        <v>101</v>
      </c>
      <c r="B105" s="4">
        <f>750.46</f>
        <v>750.46</v>
      </c>
      <c r="C105" s="5"/>
    </row>
    <row r="106" spans="1:3" s="6" customFormat="1" ht="17.25" customHeight="1" x14ac:dyDescent="0.2">
      <c r="A106" s="3" t="s">
        <v>102</v>
      </c>
      <c r="B106" s="4">
        <f>750.43</f>
        <v>750.43</v>
      </c>
      <c r="C106" s="5"/>
    </row>
    <row r="107" spans="1:3" s="6" customFormat="1" ht="17.25" customHeight="1" x14ac:dyDescent="0.2">
      <c r="A107" s="3" t="s">
        <v>103</v>
      </c>
      <c r="B107" s="4">
        <f>600</f>
        <v>600</v>
      </c>
      <c r="C107" s="5"/>
    </row>
    <row r="108" spans="1:3" s="6" customFormat="1" ht="17.25" customHeight="1" x14ac:dyDescent="0.2">
      <c r="A108" s="3" t="s">
        <v>104</v>
      </c>
      <c r="B108" s="4">
        <f>700</f>
        <v>700</v>
      </c>
      <c r="C108" s="5"/>
    </row>
    <row r="109" spans="1:3" s="6" customFormat="1" ht="17.25" customHeight="1" x14ac:dyDescent="0.2">
      <c r="A109" s="3" t="s">
        <v>105</v>
      </c>
      <c r="B109" s="4">
        <f>1761.81</f>
        <v>1761.81</v>
      </c>
      <c r="C109" s="5"/>
    </row>
    <row r="110" spans="1:3" s="6" customFormat="1" ht="17.25" customHeight="1" x14ac:dyDescent="0.2">
      <c r="A110" s="3" t="s">
        <v>106</v>
      </c>
      <c r="B110" s="4">
        <f>1749.59</f>
        <v>1749.59</v>
      </c>
      <c r="C110" s="5"/>
    </row>
    <row r="111" spans="1:3" s="6" customFormat="1" ht="24" customHeight="1" x14ac:dyDescent="0.2">
      <c r="A111" s="3" t="s">
        <v>107</v>
      </c>
      <c r="B111" s="4">
        <f>79.2</f>
        <v>79.2</v>
      </c>
      <c r="C111" s="5"/>
    </row>
    <row r="112" spans="1:3" s="6" customFormat="1" ht="24" customHeight="1" x14ac:dyDescent="0.2">
      <c r="A112" s="3" t="s">
        <v>108</v>
      </c>
      <c r="B112" s="4">
        <f>52.8</f>
        <v>52.8</v>
      </c>
      <c r="C112" s="5"/>
    </row>
    <row r="113" spans="1:3" s="6" customFormat="1" ht="22.5" customHeight="1" x14ac:dyDescent="0.2">
      <c r="A113" s="3" t="s">
        <v>109</v>
      </c>
      <c r="B113" s="4">
        <f>12487.41</f>
        <v>12487.41</v>
      </c>
      <c r="C113" s="5"/>
    </row>
    <row r="114" spans="1:3" s="6" customFormat="1" ht="25.5" customHeight="1" x14ac:dyDescent="0.2">
      <c r="A114" s="3" t="s">
        <v>110</v>
      </c>
      <c r="B114" s="4">
        <f>10631.89</f>
        <v>10631.89</v>
      </c>
      <c r="C114" s="5"/>
    </row>
    <row r="115" spans="1:3" s="6" customFormat="1" ht="17.25" customHeight="1" x14ac:dyDescent="0.2">
      <c r="A115" s="3" t="s">
        <v>111</v>
      </c>
      <c r="B115" s="4">
        <f>12632.59</f>
        <v>12632.59</v>
      </c>
      <c r="C115" s="5"/>
    </row>
    <row r="116" spans="1:3" s="6" customFormat="1" ht="17.25" customHeight="1" x14ac:dyDescent="0.2">
      <c r="A116" s="3" t="s">
        <v>112</v>
      </c>
      <c r="B116" s="4">
        <f>4751</f>
        <v>4751</v>
      </c>
      <c r="C116" s="5"/>
    </row>
    <row r="117" spans="1:3" s="6" customFormat="1" ht="17.25" customHeight="1" x14ac:dyDescent="0.2">
      <c r="A117" s="3" t="s">
        <v>113</v>
      </c>
      <c r="B117" s="4">
        <f>8534.32</f>
        <v>8534.32</v>
      </c>
      <c r="C117" s="5"/>
    </row>
    <row r="118" spans="1:3" s="6" customFormat="1" ht="17.25" customHeight="1" x14ac:dyDescent="0.2">
      <c r="A118" s="3" t="s">
        <v>114</v>
      </c>
      <c r="B118" s="4">
        <f>2765.83</f>
        <v>2765.83</v>
      </c>
      <c r="C118" s="5"/>
    </row>
    <row r="119" spans="1:3" s="6" customFormat="1" ht="17.25" customHeight="1" x14ac:dyDescent="0.2">
      <c r="A119" s="3" t="s">
        <v>115</v>
      </c>
      <c r="B119" s="4">
        <f>75</f>
        <v>75</v>
      </c>
      <c r="C119" s="5"/>
    </row>
    <row r="120" spans="1:3" s="6" customFormat="1" ht="27" customHeight="1" x14ac:dyDescent="0.2">
      <c r="A120" s="3" t="s">
        <v>116</v>
      </c>
      <c r="B120" s="4">
        <f>50</f>
        <v>50</v>
      </c>
      <c r="C120" s="5"/>
    </row>
    <row r="121" spans="1:3" s="6" customFormat="1" ht="17.25" customHeight="1" x14ac:dyDescent="0.2">
      <c r="A121" s="3" t="s">
        <v>117</v>
      </c>
      <c r="B121" s="5"/>
      <c r="C121" s="4">
        <f>3558.01</f>
        <v>3558.01</v>
      </c>
    </row>
    <row r="122" spans="1:3" s="6" customFormat="1" ht="17.25" customHeight="1" x14ac:dyDescent="0.2">
      <c r="A122" s="3" t="s">
        <v>118</v>
      </c>
      <c r="B122" s="7">
        <f>(((((((((((((((((((((((((((((((((((((((((((((((((((((((((((((((((((((((((((((((((((((((((((((((((((((((((((((((((((B6)+(B7))+(B8))+(B9))+(B10))+(B11))+(B12))+(B13))+(B14))+(B15))+(B16))+(B17))+(B18))+(B19))+(B20))+(B21))+(B22))+(B23))+(B24))+(B25))+(B26))+(B27))+(B28))+(B29))+(B30))+(B31))+(B32))+(B33))+(B34))+(B35))+(B36))+(B37))+(B38))+(B39))+(B40))+(B41))+(B42))+(B43))+(B44))+(B45))+(B46))+(B47))+(B48))+(B49))+(B50))+(B51))+(B52))+(B53))+(B54))+(B55))+(B56))+(B57))+(B58))+(B59))+(B60))+(B61))+(B62))+(B63))+(B64))+(B65))+(B66))+(B67))+(B68))+(B69))+(B70))+(B71))+(B72))+(B73))+(B74))+(B75))+(B76))+(B77))+(B78))+(B79))+(B80))+(B81))+(B82))+(B83))+(B84))+(B85))+(B86))+(B87))+(B88))+(B89))+(B90))+(B91))+(B92))+(B93))+(B94))+(B95))+(B96))+(B97))+(B98))+(B99))+(B100))+(B101))+(B102))+(B103))+(B104))+(B105))+(B106))+(B107))+(B108))+(B109))+(B110))+(B111))+(B112))+(B113))+(B114))+(B115))+(B116))+(B117))+(B118))+(B119))+(B120))+(B121)</f>
        <v>3418315.87</v>
      </c>
      <c r="C122" s="7">
        <f>(((((((((((((((((((((((((((((((((((((((((((((((((((((((((((((((((((((((((((((((((((((((((((((((((((((((((((((((((((C6)+(C7))+(C8))+(C9))+(C10))+(C11))+(C12))+(C13))+(C14))+(C15))+(C16))+(C17))+(C18))+(C19))+(C20))+(C21))+(C22))+(C23))+(C24))+(C25))+(C26))+(C27))+(C28))+(C29))+(C30))+(C31))+(C32))+(C33))+(C34))+(C35))+(C36))+(C37))+(C38))+(C39))+(C40))+(C41))+(C42))+(C43))+(C44))+(C45))+(C46))+(C47))+(C48))+(C49))+(C50))+(C51))+(C52))+(C53))+(C54))+(C55))+(C56))+(C57))+(C58))+(C59))+(C60))+(C61))+(C62))+(C63))+(C64))+(C65))+(C66))+(C67))+(C68))+(C69))+(C70))+(C71))+(C72))+(C73))+(C74))+(C75))+(C76))+(C77))+(C78))+(C79))+(C80))+(C81))+(C82))+(C83))+(C84))+(C85))+(C86))+(C87))+(C88))+(C89))+(C90))+(C91))+(C92))+(C93))+(C94))+(C95))+(C96))+(C97))+(C98))+(C99))+(C100))+(C101))+(C102))+(C103))+(C104))+(C105))+(C106))+(C107))+(C108))+(C109))+(C110))+(C111))+(C112))+(C113))+(C114))+(C115))+(C116))+(C117))+(C118))+(C119))+(C120))+(C121)</f>
        <v>3418315.8699999996</v>
      </c>
    </row>
    <row r="123" spans="1:3" s="6" customFormat="1" ht="17.25" customHeight="1" x14ac:dyDescent="0.2">
      <c r="A123" s="3"/>
      <c r="B123" s="5"/>
      <c r="C123" s="5"/>
    </row>
    <row r="124" spans="1:3" s="6" customFormat="1" ht="17.25" customHeight="1" x14ac:dyDescent="0.2"/>
    <row r="125" spans="1:3" s="6" customFormat="1" ht="17.25" customHeight="1" x14ac:dyDescent="0.2"/>
    <row r="126" spans="1:3" s="6" customFormat="1" ht="17.25" customHeight="1" x14ac:dyDescent="0.2">
      <c r="A126" s="8" t="s">
        <v>119</v>
      </c>
      <c r="B126" s="9"/>
      <c r="C126" s="9"/>
    </row>
    <row r="127" spans="1:3" s="6" customFormat="1" ht="17.25" customHeight="1" x14ac:dyDescent="0.2"/>
    <row r="128" spans="1:3" s="6" customFormat="1" ht="17.25" customHeight="1" x14ac:dyDescent="0.2"/>
  </sheetData>
  <mergeCells count="4">
    <mergeCell ref="A126:C126"/>
    <mergeCell ref="A1:C1"/>
    <mergeCell ref="A2:C2"/>
    <mergeCell ref="A3:C3"/>
  </mergeCells>
  <printOptions horizontalCentered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Trial Balance</vt:lpstr>
      <vt:lpstr>'Trial Balance'!Print_Area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 Wilson</cp:lastModifiedBy>
  <cp:lastPrinted>2024-07-26T13:49:20Z</cp:lastPrinted>
  <dcterms:created xsi:type="dcterms:W3CDTF">2024-07-26T13:47:39Z</dcterms:created>
  <dcterms:modified xsi:type="dcterms:W3CDTF">2024-07-26T13:56:31Z</dcterms:modified>
</cp:coreProperties>
</file>