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ana\Desktop\"/>
    </mc:Choice>
  </mc:AlternateContent>
  <xr:revisionPtr revIDLastSave="0" documentId="8_{44D9C77F-7132-4C79-916B-CB10A4D63D5B}" xr6:coauthVersionLast="47" xr6:coauthVersionMax="47" xr10:uidLastSave="{00000000-0000-0000-0000-000000000000}"/>
  <bookViews>
    <workbookView xWindow="1950" yWindow="0" windowWidth="22020" windowHeight="16230" xr2:uid="{00000000-000D-0000-FFFF-FFFF00000000}"/>
  </bookViews>
  <sheets>
    <sheet name="Balance Sheet" sheetId="1" r:id="rId1"/>
  </sheets>
  <definedNames>
    <definedName name="_xlnm.Print_Area" localSheetId="0">'Balance Sheet'!$A$1:$B$99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3" i="1" l="1"/>
  <c r="B92" i="1"/>
  <c r="B94" i="1" s="1"/>
  <c r="B88" i="1"/>
  <c r="B87" i="1"/>
  <c r="B86" i="1"/>
  <c r="B85" i="1"/>
  <c r="B84" i="1"/>
  <c r="B83" i="1"/>
  <c r="B82" i="1"/>
  <c r="B81" i="1"/>
  <c r="B80" i="1"/>
  <c r="B79" i="1"/>
  <c r="B89" i="1" s="1"/>
  <c r="B78" i="1"/>
  <c r="B77" i="1"/>
  <c r="B73" i="1"/>
  <c r="B72" i="1"/>
  <c r="B71" i="1"/>
  <c r="B70" i="1"/>
  <c r="B69" i="1"/>
  <c r="B68" i="1"/>
  <c r="B67" i="1"/>
  <c r="B74" i="1" s="1"/>
  <c r="B64" i="1"/>
  <c r="B65" i="1" s="1"/>
  <c r="B57" i="1"/>
  <c r="B58" i="1" s="1"/>
  <c r="B56" i="1"/>
  <c r="B53" i="1"/>
  <c r="B52" i="1"/>
  <c r="B51" i="1"/>
  <c r="B49" i="1"/>
  <c r="B48" i="1"/>
  <c r="B50" i="1" s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17" i="1"/>
  <c r="B16" i="1"/>
  <c r="B15" i="1"/>
  <c r="B18" i="1" s="1"/>
  <c r="B12" i="1"/>
  <c r="B11" i="1"/>
  <c r="B10" i="1"/>
  <c r="B9" i="1"/>
  <c r="B13" i="1" s="1"/>
  <c r="B19" i="1" s="1"/>
  <c r="B75" i="1" l="1"/>
  <c r="B90" i="1" s="1"/>
  <c r="B95" i="1" s="1"/>
  <c r="B54" i="1"/>
  <c r="B59" i="1" s="1"/>
</calcChain>
</file>

<file path=xl/sharedStrings.xml><?xml version="1.0" encoding="utf-8"?>
<sst xmlns="http://schemas.openxmlformats.org/spreadsheetml/2006/main" count="95" uniqueCount="95">
  <si>
    <t>Total</t>
  </si>
  <si>
    <t>ASSETS</t>
  </si>
  <si>
    <t xml:space="preserve">   Current Assets</t>
  </si>
  <si>
    <t xml:space="preserve">      Bank Accounts</t>
  </si>
  <si>
    <t xml:space="preserve">         10200 Cash in Bank-2100725</t>
  </si>
  <si>
    <t xml:space="preserve">         10205 Capital Expenditures Reserve</t>
  </si>
  <si>
    <t xml:space="preserve">         10400 MM/Contingency Funds-128546</t>
  </si>
  <si>
    <t xml:space="preserve">         10500 disbursement account for wwtp</t>
  </si>
  <si>
    <t xml:space="preserve">      Total Bank Accounts</t>
  </si>
  <si>
    <t xml:space="preserve">      Other Current Assets</t>
  </si>
  <si>
    <t xml:space="preserve">         11000 Standby Fees-Receivable</t>
  </si>
  <si>
    <t xml:space="preserve">         14000 Prepaid Expenses</t>
  </si>
  <si>
    <t xml:space="preserve">         14700 Other Current Assets</t>
  </si>
  <si>
    <t xml:space="preserve">      Total Other Current Assets</t>
  </si>
  <si>
    <t xml:space="preserve">   Total Current Assets</t>
  </si>
  <si>
    <t xml:space="preserve">   Fixed Assets</t>
  </si>
  <si>
    <t xml:space="preserve">      15000 Furniture &amp; Fixtures</t>
  </si>
  <si>
    <t xml:space="preserve">      15100 Equipment</t>
  </si>
  <si>
    <t xml:space="preserve">      15200 Fence</t>
  </si>
  <si>
    <t xml:space="preserve">      15300 Water Treatment Facility</t>
  </si>
  <si>
    <t xml:space="preserve">      15310 2004 Water Plant Expansion</t>
  </si>
  <si>
    <t xml:space="preserve">      15315 Water Plant Computer Upgrade</t>
  </si>
  <si>
    <t xml:space="preserve">      15320 Flowmeters</t>
  </si>
  <si>
    <t xml:space="preserve">      15340 3-Phase Electrical Upgrade</t>
  </si>
  <si>
    <t xml:space="preserve">      15350 2004 Water Storage Tank</t>
  </si>
  <si>
    <t xml:space="preserve">      15355 Water Tank</t>
  </si>
  <si>
    <t xml:space="preserve">      15360 WTP Recycling Project</t>
  </si>
  <si>
    <t xml:space="preserve">      15370 WTP Recycle Project</t>
  </si>
  <si>
    <t xml:space="preserve">      15380 Zebra Mussels</t>
  </si>
  <si>
    <t xml:space="preserve">      15390 Ridge Harbor Interconnection</t>
  </si>
  <si>
    <t xml:space="preserve">      15400 Improvements</t>
  </si>
  <si>
    <t xml:space="preserve">      15401 Tennis Village Lift Station</t>
  </si>
  <si>
    <t xml:space="preserve">      15402 Water Plant Generator</t>
  </si>
  <si>
    <t xml:space="preserve">      15403 Security System - Water Plant</t>
  </si>
  <si>
    <t xml:space="preserve">      15500 Building</t>
  </si>
  <si>
    <t xml:space="preserve">      15600 Sewer Plant</t>
  </si>
  <si>
    <t xml:space="preserve">      15610 Wastewater Recycling Project</t>
  </si>
  <si>
    <t xml:space="preserve">      15650 Barge Replacement</t>
  </si>
  <si>
    <t xml:space="preserve">      15700 Hydrotank Foundation</t>
  </si>
  <si>
    <t xml:space="preserve">      15750 Boat</t>
  </si>
  <si>
    <t xml:space="preserve">      15800 Decant Lagoon</t>
  </si>
  <si>
    <t xml:space="preserve">      15850 2014 WW Treatment Plant</t>
  </si>
  <si>
    <t xml:space="preserve">      15851 Total Land</t>
  </si>
  <si>
    <t xml:space="preserve">         16800 Lot 253</t>
  </si>
  <si>
    <t xml:space="preserve">         16900 Land</t>
  </si>
  <si>
    <t xml:space="preserve">      Total 15851 Total Land</t>
  </si>
  <si>
    <t xml:space="preserve">      15900 Sewer Plant Bldg new</t>
  </si>
  <si>
    <t xml:space="preserve">      15950 2007 Water Treatment Plant</t>
  </si>
  <si>
    <t xml:space="preserve">      17000 Accum Capital Renewal &amp; Replace</t>
  </si>
  <si>
    <t xml:space="preserve">   Total Fixed Assets</t>
  </si>
  <si>
    <t xml:space="preserve">   Other Assets</t>
  </si>
  <si>
    <t xml:space="preserve">      19000 Deposits</t>
  </si>
  <si>
    <t xml:space="preserve">      19300 Standby Fees Delinquent</t>
  </si>
  <si>
    <t xml:space="preserve">   Total Other Assets</t>
  </si>
  <si>
    <t>TOTAL ASSETS</t>
  </si>
  <si>
    <t>LIABILITIES AND EQUITY</t>
  </si>
  <si>
    <t xml:space="preserve">   Liabilities</t>
  </si>
  <si>
    <t xml:space="preserve">      Current Liabilities</t>
  </si>
  <si>
    <t xml:space="preserve">         Accounts Payable</t>
  </si>
  <si>
    <t xml:space="preserve">            20000 Accounts Payable</t>
  </si>
  <si>
    <t xml:space="preserve">         Total Accounts Payable</t>
  </si>
  <si>
    <t xml:space="preserve">         Other Current Liabilities</t>
  </si>
  <si>
    <t xml:space="preserve">            23210 Other Current Liabilities</t>
  </si>
  <si>
    <t xml:space="preserve">            24000 Other Taxes Payable</t>
  </si>
  <si>
    <t xml:space="preserve">            24200 Current Portion Lng Trm D</t>
  </si>
  <si>
    <t xml:space="preserve">            24700 Loan 17160100</t>
  </si>
  <si>
    <t xml:space="preserve">            24800 N/P First Insurance Funding</t>
  </si>
  <si>
    <t xml:space="preserve">            25000 Water &amp; Sewer Taxes Payable</t>
  </si>
  <si>
    <t xml:space="preserve">            27100 Deferred Revenue-Standby Fees</t>
  </si>
  <si>
    <t xml:space="preserve">         Total Other Current Liabilities</t>
  </si>
  <si>
    <t xml:space="preserve">      Total Current Liabilities</t>
  </si>
  <si>
    <t xml:space="preserve">      Long-Term Liabilities</t>
  </si>
  <si>
    <t xml:space="preserve">         24900 Suspense Clearing Account</t>
  </si>
  <si>
    <t xml:space="preserve">         27000 Note Payable WO POA</t>
  </si>
  <si>
    <t xml:space="preserve">         27400 Current Portion Long Term Debt</t>
  </si>
  <si>
    <t xml:space="preserve">         27500 Membership Fees Refundabl</t>
  </si>
  <si>
    <t xml:space="preserve">         27600 Loan 17160100  Amer Bank</t>
  </si>
  <si>
    <t xml:space="preserve">         27700 Current Portion Loan 1716</t>
  </si>
  <si>
    <t xml:space="preserve">         27750 Loan ABT WWTP April 4 2014</t>
  </si>
  <si>
    <t xml:space="preserve">         27755 Loan ABT WWTP2 July 11 2014</t>
  </si>
  <si>
    <t xml:space="preserve">         27756 Loan COBank ACB Denver</t>
  </si>
  <si>
    <t xml:space="preserve">         27757 Note Payable CoBank - Refinance</t>
  </si>
  <si>
    <t xml:space="preserve">         27758 CoBank Loan Oct 2021</t>
  </si>
  <si>
    <t xml:space="preserve">         27800 Def Revenue Standby Fees-Delinq</t>
  </si>
  <si>
    <t xml:space="preserve">      Total Long-Term Liabilities</t>
  </si>
  <si>
    <t xml:space="preserve">   Total Liabilities</t>
  </si>
  <si>
    <t xml:space="preserve">   Equity</t>
  </si>
  <si>
    <t xml:space="preserve">      39005 Retained Earnings</t>
  </si>
  <si>
    <t xml:space="preserve">      Net Income</t>
  </si>
  <si>
    <t xml:space="preserve">   Total Equity</t>
  </si>
  <si>
    <t>TOTAL LIABILITIES AND EQUITY</t>
  </si>
  <si>
    <t>Wednesday, Oct 23, 2024 09:08:17 AM GMT-7 - Accrual Basis</t>
  </si>
  <si>
    <t>Windermere Oaks Water Supply Corp</t>
  </si>
  <si>
    <t>Balance Sheet</t>
  </si>
  <si>
    <t>As of September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</si>
</sst>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0" fontId="3" fillId="0" borderId="0" xfId="0" applyNumberFormat="1" applyFont="1" applyAlignment="1">
      <alignment wrapText="1"/>
    </xf>
    <xf numFmtId="40" fontId="3" fillId="0" borderId="0" xfId="0" applyNumberFormat="1" applyFont="1" applyAlignment="1">
      <alignment horizontal="right" wrapText="1"/>
    </xf>
    <xf numFmtId="40" fontId="2" fillId="0" borderId="2" xfId="0" applyNumberFormat="1" applyFont="1" applyBorder="1" applyAlignment="1">
      <alignment horizontal="right" wrapText="1"/>
    </xf>
    <xf numFmtId="40" fontId="2" fillId="0" borderId="3" xfId="0" applyNumberFormat="1" applyFont="1" applyBorder="1" applyAlignment="1">
      <alignment horizontal="right" wrapText="1"/>
    </xf>
    <xf numFmtId="4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9"/>
  <sheetViews>
    <sheetView tabSelected="1" topLeftCell="A78" workbookViewId="0">
      <selection activeCell="A92" sqref="A92"/>
    </sheetView>
  </sheetViews>
  <sheetFormatPr defaultRowHeight="15" x14ac:dyDescent="0.25"/>
  <cols>
    <col min="1" max="1" width="41.28515625" customWidth="1"/>
    <col min="2" max="2" width="29.28515625" customWidth="1"/>
  </cols>
  <sheetData>
    <row r="1" spans="1:2" ht="18" x14ac:dyDescent="0.25">
      <c r="A1" s="6" t="s">
        <v>92</v>
      </c>
      <c r="B1" s="5"/>
    </row>
    <row r="2" spans="1:2" ht="18" x14ac:dyDescent="0.25">
      <c r="A2" s="6" t="s">
        <v>93</v>
      </c>
      <c r="B2" s="5"/>
    </row>
    <row r="3" spans="1:2" x14ac:dyDescent="0.25">
      <c r="A3" s="7" t="s">
        <v>94</v>
      </c>
      <c r="B3" s="5"/>
    </row>
    <row r="5" spans="1:2" x14ac:dyDescent="0.25">
      <c r="A5" s="1"/>
      <c r="B5" s="2" t="s">
        <v>0</v>
      </c>
    </row>
    <row r="6" spans="1:2" x14ac:dyDescent="0.25">
      <c r="A6" s="3" t="s">
        <v>1</v>
      </c>
      <c r="B6" s="8"/>
    </row>
    <row r="7" spans="1:2" x14ac:dyDescent="0.25">
      <c r="A7" s="3" t="s">
        <v>2</v>
      </c>
      <c r="B7" s="8"/>
    </row>
    <row r="8" spans="1:2" x14ac:dyDescent="0.25">
      <c r="A8" s="3" t="s">
        <v>3</v>
      </c>
      <c r="B8" s="8"/>
    </row>
    <row r="9" spans="1:2" x14ac:dyDescent="0.25">
      <c r="A9" s="3" t="s">
        <v>4</v>
      </c>
      <c r="B9" s="9">
        <f>25544.52</f>
        <v>25544.52</v>
      </c>
    </row>
    <row r="10" spans="1:2" x14ac:dyDescent="0.25">
      <c r="A10" s="3" t="s">
        <v>5</v>
      </c>
      <c r="B10" s="9">
        <f>41982.58</f>
        <v>41982.58</v>
      </c>
    </row>
    <row r="11" spans="1:2" x14ac:dyDescent="0.25">
      <c r="A11" s="3" t="s">
        <v>6</v>
      </c>
      <c r="B11" s="9">
        <f>154206.18</f>
        <v>154206.18</v>
      </c>
    </row>
    <row r="12" spans="1:2" x14ac:dyDescent="0.25">
      <c r="A12" s="3" t="s">
        <v>7</v>
      </c>
      <c r="B12" s="9">
        <f>0</f>
        <v>0</v>
      </c>
    </row>
    <row r="13" spans="1:2" x14ac:dyDescent="0.25">
      <c r="A13" s="3" t="s">
        <v>8</v>
      </c>
      <c r="B13" s="10">
        <f>(((B9)+(B10))+(B11))+(B12)</f>
        <v>221733.28</v>
      </c>
    </row>
    <row r="14" spans="1:2" x14ac:dyDescent="0.25">
      <c r="A14" s="3" t="s">
        <v>9</v>
      </c>
      <c r="B14" s="8"/>
    </row>
    <row r="15" spans="1:2" x14ac:dyDescent="0.25">
      <c r="A15" s="3" t="s">
        <v>10</v>
      </c>
      <c r="B15" s="9">
        <f>0</f>
        <v>0</v>
      </c>
    </row>
    <row r="16" spans="1:2" x14ac:dyDescent="0.25">
      <c r="A16" s="3" t="s">
        <v>11</v>
      </c>
      <c r="B16" s="9">
        <f>0</f>
        <v>0</v>
      </c>
    </row>
    <row r="17" spans="1:2" x14ac:dyDescent="0.25">
      <c r="A17" s="3" t="s">
        <v>12</v>
      </c>
      <c r="B17" s="9">
        <f>0</f>
        <v>0</v>
      </c>
    </row>
    <row r="18" spans="1:2" x14ac:dyDescent="0.25">
      <c r="A18" s="3" t="s">
        <v>13</v>
      </c>
      <c r="B18" s="10">
        <f>((B15)+(B16))+(B17)</f>
        <v>0</v>
      </c>
    </row>
    <row r="19" spans="1:2" x14ac:dyDescent="0.25">
      <c r="A19" s="3" t="s">
        <v>14</v>
      </c>
      <c r="B19" s="10">
        <f>(B13)+(B18)</f>
        <v>221733.28</v>
      </c>
    </row>
    <row r="20" spans="1:2" x14ac:dyDescent="0.25">
      <c r="A20" s="3" t="s">
        <v>15</v>
      </c>
      <c r="B20" s="8"/>
    </row>
    <row r="21" spans="1:2" x14ac:dyDescent="0.25">
      <c r="A21" s="3" t="s">
        <v>16</v>
      </c>
      <c r="B21" s="9">
        <f>2572.62</f>
        <v>2572.62</v>
      </c>
    </row>
    <row r="22" spans="1:2" x14ac:dyDescent="0.25">
      <c r="A22" s="3" t="s">
        <v>17</v>
      </c>
      <c r="B22" s="9">
        <f>109418.15</f>
        <v>109418.15</v>
      </c>
    </row>
    <row r="23" spans="1:2" x14ac:dyDescent="0.25">
      <c r="A23" s="3" t="s">
        <v>18</v>
      </c>
      <c r="B23" s="9">
        <f>19017.66</f>
        <v>19017.66</v>
      </c>
    </row>
    <row r="24" spans="1:2" x14ac:dyDescent="0.25">
      <c r="A24" s="3" t="s">
        <v>19</v>
      </c>
      <c r="B24" s="9">
        <f>191994.2</f>
        <v>191994.2</v>
      </c>
    </row>
    <row r="25" spans="1:2" x14ac:dyDescent="0.25">
      <c r="A25" s="3" t="s">
        <v>20</v>
      </c>
      <c r="B25" s="9">
        <f>6500</f>
        <v>6500</v>
      </c>
    </row>
    <row r="26" spans="1:2" x14ac:dyDescent="0.25">
      <c r="A26" s="3" t="s">
        <v>21</v>
      </c>
      <c r="B26" s="9">
        <f>14861.5</f>
        <v>14861.5</v>
      </c>
    </row>
    <row r="27" spans="1:2" x14ac:dyDescent="0.25">
      <c r="A27" s="3" t="s">
        <v>22</v>
      </c>
      <c r="B27" s="9">
        <f>28478.67</f>
        <v>28478.67</v>
      </c>
    </row>
    <row r="28" spans="1:2" x14ac:dyDescent="0.25">
      <c r="A28" s="3" t="s">
        <v>23</v>
      </c>
      <c r="B28" s="9">
        <f>8699</f>
        <v>8699</v>
      </c>
    </row>
    <row r="29" spans="1:2" x14ac:dyDescent="0.25">
      <c r="A29" s="3" t="s">
        <v>24</v>
      </c>
      <c r="B29" s="9">
        <f>75574.95</f>
        <v>75574.95</v>
      </c>
    </row>
    <row r="30" spans="1:2" x14ac:dyDescent="0.25">
      <c r="A30" s="3" t="s">
        <v>25</v>
      </c>
      <c r="B30" s="9">
        <f>225047.22</f>
        <v>225047.22</v>
      </c>
    </row>
    <row r="31" spans="1:2" x14ac:dyDescent="0.25">
      <c r="A31" s="3" t="s">
        <v>26</v>
      </c>
      <c r="B31" s="9">
        <f>28417.99</f>
        <v>28417.99</v>
      </c>
    </row>
    <row r="32" spans="1:2" x14ac:dyDescent="0.25">
      <c r="A32" s="3" t="s">
        <v>27</v>
      </c>
      <c r="B32" s="9">
        <f>4048.63</f>
        <v>4048.63</v>
      </c>
    </row>
    <row r="33" spans="1:2" x14ac:dyDescent="0.25">
      <c r="A33" s="3" t="s">
        <v>28</v>
      </c>
      <c r="B33" s="9">
        <f>58286.62</f>
        <v>58286.62</v>
      </c>
    </row>
    <row r="34" spans="1:2" x14ac:dyDescent="0.25">
      <c r="A34" s="3" t="s">
        <v>29</v>
      </c>
      <c r="B34" s="9">
        <f>8983.77</f>
        <v>8983.77</v>
      </c>
    </row>
    <row r="35" spans="1:2" x14ac:dyDescent="0.25">
      <c r="A35" s="3" t="s">
        <v>30</v>
      </c>
      <c r="B35" s="9">
        <f>48288.96</f>
        <v>48288.959999999999</v>
      </c>
    </row>
    <row r="36" spans="1:2" x14ac:dyDescent="0.25">
      <c r="A36" s="3" t="s">
        <v>31</v>
      </c>
      <c r="B36" s="9">
        <f>59341.9</f>
        <v>59341.9</v>
      </c>
    </row>
    <row r="37" spans="1:2" x14ac:dyDescent="0.25">
      <c r="A37" s="3" t="s">
        <v>32</v>
      </c>
      <c r="B37" s="9">
        <f>88715.03</f>
        <v>88715.03</v>
      </c>
    </row>
    <row r="38" spans="1:2" x14ac:dyDescent="0.25">
      <c r="A38" s="3" t="s">
        <v>33</v>
      </c>
      <c r="B38" s="9">
        <f>11008.04</f>
        <v>11008.04</v>
      </c>
    </row>
    <row r="39" spans="1:2" x14ac:dyDescent="0.25">
      <c r="A39" s="3" t="s">
        <v>34</v>
      </c>
      <c r="B39" s="9">
        <f>3377.58</f>
        <v>3377.58</v>
      </c>
    </row>
    <row r="40" spans="1:2" x14ac:dyDescent="0.25">
      <c r="A40" s="3" t="s">
        <v>35</v>
      </c>
      <c r="B40" s="9">
        <f>125233.87</f>
        <v>125233.87</v>
      </c>
    </row>
    <row r="41" spans="1:2" x14ac:dyDescent="0.25">
      <c r="A41" s="3" t="s">
        <v>36</v>
      </c>
      <c r="B41" s="9">
        <f>28184.08</f>
        <v>28184.080000000002</v>
      </c>
    </row>
    <row r="42" spans="1:2" x14ac:dyDescent="0.25">
      <c r="A42" s="3" t="s">
        <v>37</v>
      </c>
      <c r="B42" s="9">
        <f>652.27</f>
        <v>652.27</v>
      </c>
    </row>
    <row r="43" spans="1:2" x14ac:dyDescent="0.25">
      <c r="A43" s="3" t="s">
        <v>38</v>
      </c>
      <c r="B43" s="9">
        <f>9599.19</f>
        <v>9599.19</v>
      </c>
    </row>
    <row r="44" spans="1:2" x14ac:dyDescent="0.25">
      <c r="A44" s="3" t="s">
        <v>39</v>
      </c>
      <c r="B44" s="9">
        <f>4000</f>
        <v>4000</v>
      </c>
    </row>
    <row r="45" spans="1:2" x14ac:dyDescent="0.25">
      <c r="A45" s="3" t="s">
        <v>40</v>
      </c>
      <c r="B45" s="9">
        <f>18475.51</f>
        <v>18475.509999999998</v>
      </c>
    </row>
    <row r="46" spans="1:2" x14ac:dyDescent="0.25">
      <c r="A46" s="3" t="s">
        <v>41</v>
      </c>
      <c r="B46" s="9">
        <f>788648.35</f>
        <v>788648.35</v>
      </c>
    </row>
    <row r="47" spans="1:2" x14ac:dyDescent="0.25">
      <c r="A47" s="3" t="s">
        <v>42</v>
      </c>
      <c r="B47" s="8"/>
    </row>
    <row r="48" spans="1:2" x14ac:dyDescent="0.25">
      <c r="A48" s="3" t="s">
        <v>43</v>
      </c>
      <c r="B48" s="9">
        <f>6403.75</f>
        <v>6403.75</v>
      </c>
    </row>
    <row r="49" spans="1:2" x14ac:dyDescent="0.25">
      <c r="A49" s="3" t="s">
        <v>44</v>
      </c>
      <c r="B49" s="9">
        <f>54705.69</f>
        <v>54705.69</v>
      </c>
    </row>
    <row r="50" spans="1:2" x14ac:dyDescent="0.25">
      <c r="A50" s="3" t="s">
        <v>45</v>
      </c>
      <c r="B50" s="10">
        <f>((B47)+(B48))+(B49)</f>
        <v>61109.440000000002</v>
      </c>
    </row>
    <row r="51" spans="1:2" x14ac:dyDescent="0.25">
      <c r="A51" s="3" t="s">
        <v>46</v>
      </c>
      <c r="B51" s="9">
        <f>18277.7</f>
        <v>18277.7</v>
      </c>
    </row>
    <row r="52" spans="1:2" x14ac:dyDescent="0.25">
      <c r="A52" s="3" t="s">
        <v>47</v>
      </c>
      <c r="B52" s="9">
        <f>679210.33</f>
        <v>679210.33</v>
      </c>
    </row>
    <row r="53" spans="1:2" x14ac:dyDescent="0.25">
      <c r="A53" s="3" t="s">
        <v>48</v>
      </c>
      <c r="B53" s="9">
        <f>-1213928.22</f>
        <v>-1213928.22</v>
      </c>
    </row>
    <row r="54" spans="1:2" x14ac:dyDescent="0.25">
      <c r="A54" s="3" t="s">
        <v>49</v>
      </c>
      <c r="B54" s="10">
        <f>(((((((((((((((((((((((((((((B21)+(B22))+(B23))+(B24))+(B25))+(B26))+(B27))+(B28))+(B29))+(B30))+(B31))+(B32))+(B33))+(B34))+(B35))+(B36))+(B37))+(B38))+(B39))+(B40))+(B41))+(B42))+(B43))+(B44))+(B45))+(B46))+(B50))+(B51))+(B52))+(B53)</f>
        <v>1512095.0099999995</v>
      </c>
    </row>
    <row r="55" spans="1:2" x14ac:dyDescent="0.25">
      <c r="A55" s="3" t="s">
        <v>50</v>
      </c>
      <c r="B55" s="8"/>
    </row>
    <row r="56" spans="1:2" x14ac:dyDescent="0.25">
      <c r="A56" s="3" t="s">
        <v>51</v>
      </c>
      <c r="B56" s="9">
        <f>0</f>
        <v>0</v>
      </c>
    </row>
    <row r="57" spans="1:2" x14ac:dyDescent="0.25">
      <c r="A57" s="3" t="s">
        <v>52</v>
      </c>
      <c r="B57" s="9">
        <f>0</f>
        <v>0</v>
      </c>
    </row>
    <row r="58" spans="1:2" x14ac:dyDescent="0.25">
      <c r="A58" s="3" t="s">
        <v>53</v>
      </c>
      <c r="B58" s="10">
        <f>(B56)+(B57)</f>
        <v>0</v>
      </c>
    </row>
    <row r="59" spans="1:2" x14ac:dyDescent="0.25">
      <c r="A59" s="3" t="s">
        <v>54</v>
      </c>
      <c r="B59" s="11">
        <f>((B19)+(B54))+(B58)</f>
        <v>1733828.2899999996</v>
      </c>
    </row>
    <row r="60" spans="1:2" x14ac:dyDescent="0.25">
      <c r="A60" s="3" t="s">
        <v>55</v>
      </c>
      <c r="B60" s="8"/>
    </row>
    <row r="61" spans="1:2" x14ac:dyDescent="0.25">
      <c r="A61" s="3" t="s">
        <v>56</v>
      </c>
      <c r="B61" s="8"/>
    </row>
    <row r="62" spans="1:2" x14ac:dyDescent="0.25">
      <c r="A62" s="3" t="s">
        <v>57</v>
      </c>
      <c r="B62" s="8"/>
    </row>
    <row r="63" spans="1:2" x14ac:dyDescent="0.25">
      <c r="A63" s="3" t="s">
        <v>58</v>
      </c>
      <c r="B63" s="8"/>
    </row>
    <row r="64" spans="1:2" x14ac:dyDescent="0.25">
      <c r="A64" s="3" t="s">
        <v>59</v>
      </c>
      <c r="B64" s="9">
        <f>555930.82</f>
        <v>555930.81999999995</v>
      </c>
    </row>
    <row r="65" spans="1:2" x14ac:dyDescent="0.25">
      <c r="A65" s="3" t="s">
        <v>60</v>
      </c>
      <c r="B65" s="10">
        <f>B64</f>
        <v>555930.81999999995</v>
      </c>
    </row>
    <row r="66" spans="1:2" x14ac:dyDescent="0.25">
      <c r="A66" s="3" t="s">
        <v>61</v>
      </c>
      <c r="B66" s="8"/>
    </row>
    <row r="67" spans="1:2" x14ac:dyDescent="0.25">
      <c r="A67" s="3" t="s">
        <v>62</v>
      </c>
      <c r="B67" s="9">
        <f>0</f>
        <v>0</v>
      </c>
    </row>
    <row r="68" spans="1:2" x14ac:dyDescent="0.25">
      <c r="A68" s="3" t="s">
        <v>63</v>
      </c>
      <c r="B68" s="9">
        <f>0</f>
        <v>0</v>
      </c>
    </row>
    <row r="69" spans="1:2" x14ac:dyDescent="0.25">
      <c r="A69" s="3" t="s">
        <v>64</v>
      </c>
      <c r="B69" s="9">
        <f>0</f>
        <v>0</v>
      </c>
    </row>
    <row r="70" spans="1:2" x14ac:dyDescent="0.25">
      <c r="A70" s="3" t="s">
        <v>65</v>
      </c>
      <c r="B70" s="9">
        <f>0</f>
        <v>0</v>
      </c>
    </row>
    <row r="71" spans="1:2" x14ac:dyDescent="0.25">
      <c r="A71" s="3" t="s">
        <v>66</v>
      </c>
      <c r="B71" s="9">
        <f>0</f>
        <v>0</v>
      </c>
    </row>
    <row r="72" spans="1:2" x14ac:dyDescent="0.25">
      <c r="A72" s="3" t="s">
        <v>67</v>
      </c>
      <c r="B72" s="9">
        <f>7840.24</f>
        <v>7840.24</v>
      </c>
    </row>
    <row r="73" spans="1:2" x14ac:dyDescent="0.25">
      <c r="A73" s="3" t="s">
        <v>68</v>
      </c>
      <c r="B73" s="9">
        <f>0</f>
        <v>0</v>
      </c>
    </row>
    <row r="74" spans="1:2" x14ac:dyDescent="0.25">
      <c r="A74" s="3" t="s">
        <v>69</v>
      </c>
      <c r="B74" s="10">
        <f>((((((B67)+(B68))+(B69))+(B70))+(B71))+(B72))+(B73)</f>
        <v>7840.24</v>
      </c>
    </row>
    <row r="75" spans="1:2" x14ac:dyDescent="0.25">
      <c r="A75" s="3" t="s">
        <v>70</v>
      </c>
      <c r="B75" s="10">
        <f>(B65)+(B74)</f>
        <v>563771.05999999994</v>
      </c>
    </row>
    <row r="76" spans="1:2" x14ac:dyDescent="0.25">
      <c r="A76" s="3" t="s">
        <v>71</v>
      </c>
      <c r="B76" s="8"/>
    </row>
    <row r="77" spans="1:2" x14ac:dyDescent="0.25">
      <c r="A77" s="3" t="s">
        <v>72</v>
      </c>
      <c r="B77" s="9">
        <f>0</f>
        <v>0</v>
      </c>
    </row>
    <row r="78" spans="1:2" x14ac:dyDescent="0.25">
      <c r="A78" s="3" t="s">
        <v>73</v>
      </c>
      <c r="B78" s="9">
        <f>0</f>
        <v>0</v>
      </c>
    </row>
    <row r="79" spans="1:2" x14ac:dyDescent="0.25">
      <c r="A79" s="3" t="s">
        <v>74</v>
      </c>
      <c r="B79" s="9">
        <f>0</f>
        <v>0</v>
      </c>
    </row>
    <row r="80" spans="1:2" x14ac:dyDescent="0.25">
      <c r="A80" s="3" t="s">
        <v>75</v>
      </c>
      <c r="B80" s="9">
        <f>9436.63</f>
        <v>9436.6299999999992</v>
      </c>
    </row>
    <row r="81" spans="1:2" x14ac:dyDescent="0.25">
      <c r="A81" s="3" t="s">
        <v>76</v>
      </c>
      <c r="B81" s="9">
        <f>0</f>
        <v>0</v>
      </c>
    </row>
    <row r="82" spans="1:2" x14ac:dyDescent="0.25">
      <c r="A82" s="3" t="s">
        <v>77</v>
      </c>
      <c r="B82" s="9">
        <f>0</f>
        <v>0</v>
      </c>
    </row>
    <row r="83" spans="1:2" x14ac:dyDescent="0.25">
      <c r="A83" s="3" t="s">
        <v>78</v>
      </c>
      <c r="B83" s="9">
        <f>0</f>
        <v>0</v>
      </c>
    </row>
    <row r="84" spans="1:2" x14ac:dyDescent="0.25">
      <c r="A84" s="3" t="s">
        <v>79</v>
      </c>
      <c r="B84" s="9">
        <f>0</f>
        <v>0</v>
      </c>
    </row>
    <row r="85" spans="1:2" x14ac:dyDescent="0.25">
      <c r="A85" s="3" t="s">
        <v>80</v>
      </c>
      <c r="B85" s="9">
        <f>127875.84</f>
        <v>127875.84</v>
      </c>
    </row>
    <row r="86" spans="1:2" x14ac:dyDescent="0.25">
      <c r="A86" s="3" t="s">
        <v>81</v>
      </c>
      <c r="B86" s="9">
        <f>159530.14</f>
        <v>159530.14000000001</v>
      </c>
    </row>
    <row r="87" spans="1:2" x14ac:dyDescent="0.25">
      <c r="A87" s="3" t="s">
        <v>82</v>
      </c>
      <c r="B87" s="9">
        <f>268024.37</f>
        <v>268024.37</v>
      </c>
    </row>
    <row r="88" spans="1:2" x14ac:dyDescent="0.25">
      <c r="A88" s="3" t="s">
        <v>83</v>
      </c>
      <c r="B88" s="9">
        <f>0</f>
        <v>0</v>
      </c>
    </row>
    <row r="89" spans="1:2" x14ac:dyDescent="0.25">
      <c r="A89" s="3" t="s">
        <v>84</v>
      </c>
      <c r="B89" s="10">
        <f>(((((((((((B77)+(B78))+(B79))+(B80))+(B81))+(B82))+(B83))+(B84))+(B85))+(B86))+(B87))+(B88)</f>
        <v>564866.98</v>
      </c>
    </row>
    <row r="90" spans="1:2" x14ac:dyDescent="0.25">
      <c r="A90" s="3" t="s">
        <v>85</v>
      </c>
      <c r="B90" s="10">
        <f>(B75)+(B89)</f>
        <v>1128638.04</v>
      </c>
    </row>
    <row r="91" spans="1:2" x14ac:dyDescent="0.25">
      <c r="A91" s="3" t="s">
        <v>86</v>
      </c>
      <c r="B91" s="8"/>
    </row>
    <row r="92" spans="1:2" x14ac:dyDescent="0.25">
      <c r="A92" s="3" t="s">
        <v>87</v>
      </c>
      <c r="B92" s="9">
        <f>704936.59</f>
        <v>704936.59</v>
      </c>
    </row>
    <row r="93" spans="1:2" x14ac:dyDescent="0.25">
      <c r="A93" s="3" t="s">
        <v>88</v>
      </c>
      <c r="B93" s="9">
        <f>-99746.34</f>
        <v>-99746.34</v>
      </c>
    </row>
    <row r="94" spans="1:2" x14ac:dyDescent="0.25">
      <c r="A94" s="3" t="s">
        <v>89</v>
      </c>
      <c r="B94" s="10">
        <f>(B92)+(B93)</f>
        <v>605190.25</v>
      </c>
    </row>
    <row r="95" spans="1:2" x14ac:dyDescent="0.25">
      <c r="A95" s="3" t="s">
        <v>90</v>
      </c>
      <c r="B95" s="11">
        <f>(B90)+(B94)</f>
        <v>1733828.29</v>
      </c>
    </row>
    <row r="96" spans="1:2" x14ac:dyDescent="0.25">
      <c r="A96" s="3"/>
      <c r="B96" s="8"/>
    </row>
    <row r="97" spans="1:2" x14ac:dyDescent="0.25">
      <c r="B97" s="12"/>
    </row>
    <row r="99" spans="1:2" x14ac:dyDescent="0.25">
      <c r="A99" s="4" t="s">
        <v>91</v>
      </c>
      <c r="B99" s="5"/>
    </row>
  </sheetData>
  <mergeCells count="4">
    <mergeCell ref="A99:B99"/>
    <mergeCell ref="A1:B1"/>
    <mergeCell ref="A2:B2"/>
    <mergeCell ref="A3:B3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Balance Sheet</vt:lpstr>
      <vt:lpstr>'Balance Sheet'!Print_Area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Dana Wilson</cp:lastModifiedBy>
  <dcterms:created xsi:type="dcterms:W3CDTF">2024-10-23T16:08:17Z</dcterms:created>
  <dcterms:modified xsi:type="dcterms:W3CDTF">2024-10-23T16:09:16Z</dcterms:modified>
</cp:coreProperties>
</file>