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ana\Desktop\"/>
    </mc:Choice>
  </mc:AlternateContent>
  <xr:revisionPtr revIDLastSave="0" documentId="13_ncr:1_{1EF9FCA6-6A2F-44F3-A593-D3DDD1571F03}" xr6:coauthVersionLast="47" xr6:coauthVersionMax="47" xr10:uidLastSave="{00000000-0000-0000-0000-000000000000}"/>
  <bookViews>
    <workbookView xWindow="780" yWindow="720" windowWidth="24300" windowHeight="15480" xr2:uid="{00000000-000D-0000-FFFF-FFFF00000000}"/>
  </bookViews>
  <sheets>
    <sheet name="Profit and Loss" sheetId="1" r:id="rId1"/>
  </sheets>
  <definedNames>
    <definedName name="_xlnm.Print_Area" localSheetId="0">'Profit and Loss'!$A$1:$L$126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1" i="1" l="1"/>
  <c r="J121" i="1"/>
  <c r="I121" i="1"/>
  <c r="B121" i="1"/>
  <c r="K120" i="1"/>
  <c r="J120" i="1"/>
  <c r="I120" i="1"/>
  <c r="H120" i="1"/>
  <c r="H121" i="1" s="1"/>
  <c r="G120" i="1"/>
  <c r="G121" i="1" s="1"/>
  <c r="F120" i="1"/>
  <c r="F121" i="1" s="1"/>
  <c r="E120" i="1"/>
  <c r="E121" i="1" s="1"/>
  <c r="D120" i="1"/>
  <c r="D121" i="1" s="1"/>
  <c r="C120" i="1"/>
  <c r="C121" i="1" s="1"/>
  <c r="L121" i="1" s="1"/>
  <c r="B120" i="1"/>
  <c r="D119" i="1"/>
  <c r="C119" i="1"/>
  <c r="B119" i="1"/>
  <c r="L119" i="1" s="1"/>
  <c r="K115" i="1"/>
  <c r="J115" i="1"/>
  <c r="I115" i="1"/>
  <c r="H115" i="1"/>
  <c r="F115" i="1"/>
  <c r="D115" i="1"/>
  <c r="C115" i="1"/>
  <c r="B115" i="1"/>
  <c r="G114" i="1"/>
  <c r="E114" i="1"/>
  <c r="L114" i="1" s="1"/>
  <c r="G113" i="1"/>
  <c r="G115" i="1" s="1"/>
  <c r="E113" i="1"/>
  <c r="E115" i="1" s="1"/>
  <c r="L115" i="1" s="1"/>
  <c r="L112" i="1"/>
  <c r="K111" i="1"/>
  <c r="J111" i="1"/>
  <c r="K110" i="1"/>
  <c r="I110" i="1"/>
  <c r="I111" i="1" s="1"/>
  <c r="H110" i="1"/>
  <c r="G110" i="1"/>
  <c r="F110" i="1"/>
  <c r="L110" i="1" s="1"/>
  <c r="E110" i="1"/>
  <c r="D110" i="1"/>
  <c r="D111" i="1" s="1"/>
  <c r="C110" i="1"/>
  <c r="B110" i="1"/>
  <c r="K109" i="1"/>
  <c r="I109" i="1"/>
  <c r="H109" i="1"/>
  <c r="H111" i="1" s="1"/>
  <c r="G109" i="1"/>
  <c r="G111" i="1" s="1"/>
  <c r="F109" i="1"/>
  <c r="F111" i="1" s="1"/>
  <c r="E109" i="1"/>
  <c r="E111" i="1" s="1"/>
  <c r="D109" i="1"/>
  <c r="C109" i="1"/>
  <c r="C111" i="1" s="1"/>
  <c r="B109" i="1"/>
  <c r="L109" i="1" s="1"/>
  <c r="L108" i="1"/>
  <c r="K107" i="1"/>
  <c r="J107" i="1"/>
  <c r="H107" i="1"/>
  <c r="F107" i="1"/>
  <c r="E107" i="1"/>
  <c r="D107" i="1"/>
  <c r="C107" i="1"/>
  <c r="B107" i="1"/>
  <c r="L106" i="1"/>
  <c r="I106" i="1"/>
  <c r="G106" i="1"/>
  <c r="I105" i="1"/>
  <c r="I107" i="1" s="1"/>
  <c r="G105" i="1"/>
  <c r="G107" i="1" s="1"/>
  <c r="L107" i="1" s="1"/>
  <c r="L104" i="1"/>
  <c r="K103" i="1"/>
  <c r="J103" i="1"/>
  <c r="I103" i="1"/>
  <c r="H103" i="1"/>
  <c r="G103" i="1"/>
  <c r="F103" i="1"/>
  <c r="E103" i="1"/>
  <c r="D103" i="1"/>
  <c r="C103" i="1"/>
  <c r="B102" i="1"/>
  <c r="L102" i="1" s="1"/>
  <c r="B101" i="1"/>
  <c r="L101" i="1" s="1"/>
  <c r="L100" i="1"/>
  <c r="I99" i="1"/>
  <c r="G99" i="1"/>
  <c r="F99" i="1"/>
  <c r="E99" i="1"/>
  <c r="D99" i="1"/>
  <c r="C99" i="1"/>
  <c r="H98" i="1"/>
  <c r="H99" i="1" s="1"/>
  <c r="B98" i="1"/>
  <c r="B99" i="1" s="1"/>
  <c r="L97" i="1"/>
  <c r="K97" i="1"/>
  <c r="K99" i="1" s="1"/>
  <c r="J97" i="1"/>
  <c r="J99" i="1" s="1"/>
  <c r="D97" i="1"/>
  <c r="B97" i="1"/>
  <c r="L96" i="1"/>
  <c r="K95" i="1"/>
  <c r="J95" i="1"/>
  <c r="I95" i="1"/>
  <c r="H95" i="1"/>
  <c r="G95" i="1"/>
  <c r="F95" i="1"/>
  <c r="E95" i="1"/>
  <c r="D95" i="1"/>
  <c r="C95" i="1"/>
  <c r="B95" i="1"/>
  <c r="L95" i="1" s="1"/>
  <c r="L94" i="1"/>
  <c r="B94" i="1"/>
  <c r="L93" i="1"/>
  <c r="B93" i="1"/>
  <c r="L92" i="1"/>
  <c r="G91" i="1"/>
  <c r="E91" i="1"/>
  <c r="D91" i="1"/>
  <c r="C91" i="1"/>
  <c r="B91" i="1"/>
  <c r="K90" i="1"/>
  <c r="J90" i="1"/>
  <c r="I90" i="1"/>
  <c r="H90" i="1"/>
  <c r="G90" i="1"/>
  <c r="F90" i="1"/>
  <c r="E90" i="1"/>
  <c r="D90" i="1"/>
  <c r="C90" i="1"/>
  <c r="B90" i="1"/>
  <c r="L90" i="1" s="1"/>
  <c r="K89" i="1"/>
  <c r="K91" i="1" s="1"/>
  <c r="J89" i="1"/>
  <c r="J91" i="1" s="1"/>
  <c r="I89" i="1"/>
  <c r="I91" i="1" s="1"/>
  <c r="H89" i="1"/>
  <c r="H91" i="1" s="1"/>
  <c r="G89" i="1"/>
  <c r="F89" i="1"/>
  <c r="F91" i="1" s="1"/>
  <c r="E89" i="1"/>
  <c r="D89" i="1"/>
  <c r="C89" i="1"/>
  <c r="B89" i="1"/>
  <c r="L88" i="1"/>
  <c r="K87" i="1"/>
  <c r="J87" i="1"/>
  <c r="I87" i="1"/>
  <c r="H87" i="1"/>
  <c r="G87" i="1"/>
  <c r="F87" i="1"/>
  <c r="E87" i="1"/>
  <c r="D87" i="1"/>
  <c r="C87" i="1"/>
  <c r="B87" i="1"/>
  <c r="L87" i="1" s="1"/>
  <c r="L86" i="1"/>
  <c r="B86" i="1"/>
  <c r="L85" i="1"/>
  <c r="B85" i="1"/>
  <c r="L84" i="1"/>
  <c r="K83" i="1"/>
  <c r="J83" i="1"/>
  <c r="I83" i="1"/>
  <c r="H83" i="1"/>
  <c r="G83" i="1"/>
  <c r="F83" i="1"/>
  <c r="E83" i="1"/>
  <c r="D83" i="1"/>
  <c r="C83" i="1"/>
  <c r="B83" i="1"/>
  <c r="L83" i="1" s="1"/>
  <c r="L82" i="1"/>
  <c r="K82" i="1"/>
  <c r="L81" i="1"/>
  <c r="E80" i="1"/>
  <c r="D80" i="1"/>
  <c r="C80" i="1"/>
  <c r="B80" i="1"/>
  <c r="L79" i="1"/>
  <c r="K79" i="1"/>
  <c r="J79" i="1"/>
  <c r="I79" i="1"/>
  <c r="H79" i="1"/>
  <c r="G79" i="1"/>
  <c r="F79" i="1"/>
  <c r="E79" i="1"/>
  <c r="D79" i="1"/>
  <c r="B79" i="1"/>
  <c r="K78" i="1"/>
  <c r="K80" i="1" s="1"/>
  <c r="J78" i="1"/>
  <c r="J80" i="1" s="1"/>
  <c r="I78" i="1"/>
  <c r="I80" i="1" s="1"/>
  <c r="H78" i="1"/>
  <c r="H80" i="1" s="1"/>
  <c r="G78" i="1"/>
  <c r="L78" i="1" s="1"/>
  <c r="F78" i="1"/>
  <c r="F80" i="1" s="1"/>
  <c r="E78" i="1"/>
  <c r="D78" i="1"/>
  <c r="B78" i="1"/>
  <c r="L77" i="1"/>
  <c r="I76" i="1"/>
  <c r="D76" i="1"/>
  <c r="C76" i="1"/>
  <c r="B76" i="1"/>
  <c r="L75" i="1"/>
  <c r="K75" i="1"/>
  <c r="J75" i="1"/>
  <c r="I75" i="1"/>
  <c r="H75" i="1"/>
  <c r="G75" i="1"/>
  <c r="F75" i="1"/>
  <c r="E75" i="1"/>
  <c r="K74" i="1"/>
  <c r="K76" i="1" s="1"/>
  <c r="J74" i="1"/>
  <c r="J76" i="1" s="1"/>
  <c r="I74" i="1"/>
  <c r="H74" i="1"/>
  <c r="H76" i="1" s="1"/>
  <c r="G74" i="1"/>
  <c r="G76" i="1" s="1"/>
  <c r="F74" i="1"/>
  <c r="F76" i="1" s="1"/>
  <c r="E74" i="1"/>
  <c r="L74" i="1" s="1"/>
  <c r="L73" i="1"/>
  <c r="J72" i="1"/>
  <c r="H72" i="1"/>
  <c r="E72" i="1"/>
  <c r="C72" i="1"/>
  <c r="K71" i="1"/>
  <c r="K72" i="1" s="1"/>
  <c r="I71" i="1"/>
  <c r="G71" i="1"/>
  <c r="F71" i="1"/>
  <c r="L71" i="1" s="1"/>
  <c r="E71" i="1"/>
  <c r="D71" i="1"/>
  <c r="B71" i="1"/>
  <c r="K70" i="1"/>
  <c r="I70" i="1"/>
  <c r="I72" i="1" s="1"/>
  <c r="G70" i="1"/>
  <c r="G72" i="1" s="1"/>
  <c r="F70" i="1"/>
  <c r="F72" i="1" s="1"/>
  <c r="E70" i="1"/>
  <c r="D70" i="1"/>
  <c r="D72" i="1" s="1"/>
  <c r="B70" i="1"/>
  <c r="L70" i="1" s="1"/>
  <c r="L69" i="1"/>
  <c r="K68" i="1"/>
  <c r="J68" i="1"/>
  <c r="I68" i="1"/>
  <c r="C68" i="1"/>
  <c r="H67" i="1"/>
  <c r="G67" i="1"/>
  <c r="F67" i="1"/>
  <c r="E67" i="1"/>
  <c r="E68" i="1" s="1"/>
  <c r="D67" i="1"/>
  <c r="B67" i="1"/>
  <c r="L67" i="1" s="1"/>
  <c r="L66" i="1"/>
  <c r="H66" i="1"/>
  <c r="H68" i="1" s="1"/>
  <c r="G66" i="1"/>
  <c r="G68" i="1" s="1"/>
  <c r="F66" i="1"/>
  <c r="F68" i="1" s="1"/>
  <c r="E66" i="1"/>
  <c r="D66" i="1"/>
  <c r="D68" i="1" s="1"/>
  <c r="B66" i="1"/>
  <c r="L65" i="1"/>
  <c r="I64" i="1"/>
  <c r="G64" i="1"/>
  <c r="F64" i="1"/>
  <c r="E64" i="1"/>
  <c r="D64" i="1"/>
  <c r="C64" i="1"/>
  <c r="C116" i="1" s="1"/>
  <c r="K63" i="1"/>
  <c r="J63" i="1"/>
  <c r="I63" i="1"/>
  <c r="H63" i="1"/>
  <c r="G63" i="1"/>
  <c r="F63" i="1"/>
  <c r="E63" i="1"/>
  <c r="D63" i="1"/>
  <c r="C63" i="1"/>
  <c r="B63" i="1"/>
  <c r="L63" i="1" s="1"/>
  <c r="K62" i="1"/>
  <c r="K64" i="1" s="1"/>
  <c r="J62" i="1"/>
  <c r="L62" i="1" s="1"/>
  <c r="I62" i="1"/>
  <c r="H62" i="1"/>
  <c r="H64" i="1" s="1"/>
  <c r="G62" i="1"/>
  <c r="F62" i="1"/>
  <c r="E62" i="1"/>
  <c r="D62" i="1"/>
  <c r="C62" i="1"/>
  <c r="B62" i="1"/>
  <c r="G61" i="1"/>
  <c r="E61" i="1"/>
  <c r="D61" i="1"/>
  <c r="C61" i="1"/>
  <c r="B61" i="1"/>
  <c r="L61" i="1" s="1"/>
  <c r="J57" i="1"/>
  <c r="I57" i="1"/>
  <c r="H57" i="1"/>
  <c r="G57" i="1"/>
  <c r="F57" i="1"/>
  <c r="E57" i="1"/>
  <c r="D57" i="1"/>
  <c r="C57" i="1"/>
  <c r="B57" i="1"/>
  <c r="L56" i="1"/>
  <c r="K56" i="1"/>
  <c r="K57" i="1" s="1"/>
  <c r="F56" i="1"/>
  <c r="E56" i="1"/>
  <c r="C56" i="1"/>
  <c r="L55" i="1"/>
  <c r="D55" i="1"/>
  <c r="K54" i="1"/>
  <c r="E54" i="1"/>
  <c r="D54" i="1"/>
  <c r="C54" i="1"/>
  <c r="K53" i="1"/>
  <c r="J53" i="1"/>
  <c r="I53" i="1"/>
  <c r="H53" i="1"/>
  <c r="G53" i="1"/>
  <c r="F53" i="1"/>
  <c r="D53" i="1"/>
  <c r="C53" i="1"/>
  <c r="B53" i="1"/>
  <c r="B54" i="1" s="1"/>
  <c r="J52" i="1"/>
  <c r="J54" i="1" s="1"/>
  <c r="I52" i="1"/>
  <c r="I54" i="1" s="1"/>
  <c r="H52" i="1"/>
  <c r="H54" i="1" s="1"/>
  <c r="G52" i="1"/>
  <c r="G54" i="1" s="1"/>
  <c r="F52" i="1"/>
  <c r="F54" i="1" s="1"/>
  <c r="E52" i="1"/>
  <c r="L52" i="1" s="1"/>
  <c r="D52" i="1"/>
  <c r="C52" i="1"/>
  <c r="B52" i="1"/>
  <c r="K51" i="1"/>
  <c r="J51" i="1"/>
  <c r="I51" i="1"/>
  <c r="H51" i="1"/>
  <c r="G51" i="1"/>
  <c r="F51" i="1"/>
  <c r="E51" i="1"/>
  <c r="D51" i="1"/>
  <c r="C51" i="1"/>
  <c r="B51" i="1"/>
  <c r="L51" i="1" s="1"/>
  <c r="L50" i="1"/>
  <c r="D50" i="1"/>
  <c r="L49" i="1"/>
  <c r="C48" i="1"/>
  <c r="B48" i="1"/>
  <c r="K47" i="1"/>
  <c r="L47" i="1" s="1"/>
  <c r="J47" i="1"/>
  <c r="I47" i="1"/>
  <c r="H47" i="1"/>
  <c r="G47" i="1"/>
  <c r="F47" i="1"/>
  <c r="E47" i="1"/>
  <c r="D47" i="1"/>
  <c r="C47" i="1"/>
  <c r="B47" i="1"/>
  <c r="K46" i="1"/>
  <c r="K48" i="1" s="1"/>
  <c r="J46" i="1"/>
  <c r="J48" i="1" s="1"/>
  <c r="I46" i="1"/>
  <c r="I48" i="1" s="1"/>
  <c r="H46" i="1"/>
  <c r="H48" i="1" s="1"/>
  <c r="G46" i="1"/>
  <c r="G48" i="1" s="1"/>
  <c r="F46" i="1"/>
  <c r="F48" i="1" s="1"/>
  <c r="F58" i="1" s="1"/>
  <c r="E46" i="1"/>
  <c r="E48" i="1" s="1"/>
  <c r="D46" i="1"/>
  <c r="L46" i="1" s="1"/>
  <c r="C46" i="1"/>
  <c r="B46" i="1"/>
  <c r="L45" i="1"/>
  <c r="J44" i="1"/>
  <c r="I44" i="1"/>
  <c r="H44" i="1"/>
  <c r="F44" i="1"/>
  <c r="E44" i="1"/>
  <c r="E58" i="1" s="1"/>
  <c r="D44" i="1"/>
  <c r="C44" i="1"/>
  <c r="C58" i="1" s="1"/>
  <c r="B44" i="1"/>
  <c r="L43" i="1"/>
  <c r="K43" i="1"/>
  <c r="I43" i="1"/>
  <c r="G43" i="1"/>
  <c r="E43" i="1"/>
  <c r="C43" i="1"/>
  <c r="B43" i="1"/>
  <c r="K42" i="1"/>
  <c r="K44" i="1" s="1"/>
  <c r="I42" i="1"/>
  <c r="G42" i="1"/>
  <c r="G44" i="1" s="1"/>
  <c r="G58" i="1" s="1"/>
  <c r="E42" i="1"/>
  <c r="C42" i="1"/>
  <c r="B42" i="1"/>
  <c r="L42" i="1" s="1"/>
  <c r="L41" i="1"/>
  <c r="G38" i="1"/>
  <c r="F38" i="1"/>
  <c r="E38" i="1"/>
  <c r="L38" i="1" s="1"/>
  <c r="D37" i="1"/>
  <c r="L37" i="1" s="1"/>
  <c r="L36" i="1"/>
  <c r="K36" i="1"/>
  <c r="J36" i="1"/>
  <c r="I36" i="1"/>
  <c r="H36" i="1"/>
  <c r="G36" i="1"/>
  <c r="F36" i="1"/>
  <c r="E36" i="1"/>
  <c r="D36" i="1"/>
  <c r="H35" i="1"/>
  <c r="G35" i="1"/>
  <c r="F35" i="1"/>
  <c r="E35" i="1"/>
  <c r="C35" i="1"/>
  <c r="B35" i="1"/>
  <c r="K34" i="1"/>
  <c r="J34" i="1"/>
  <c r="I34" i="1"/>
  <c r="H34" i="1"/>
  <c r="G34" i="1"/>
  <c r="F34" i="1"/>
  <c r="E34" i="1"/>
  <c r="D34" i="1"/>
  <c r="L34" i="1" s="1"/>
  <c r="K33" i="1"/>
  <c r="K35" i="1" s="1"/>
  <c r="J33" i="1"/>
  <c r="L33" i="1" s="1"/>
  <c r="I33" i="1"/>
  <c r="I35" i="1" s="1"/>
  <c r="H33" i="1"/>
  <c r="G33" i="1"/>
  <c r="F33" i="1"/>
  <c r="E33" i="1"/>
  <c r="D33" i="1"/>
  <c r="L32" i="1"/>
  <c r="C31" i="1"/>
  <c r="L31" i="1" s="1"/>
  <c r="K30" i="1"/>
  <c r="J30" i="1"/>
  <c r="I30" i="1"/>
  <c r="H30" i="1"/>
  <c r="G30" i="1"/>
  <c r="F30" i="1"/>
  <c r="D30" i="1"/>
  <c r="C30" i="1"/>
  <c r="I29" i="1"/>
  <c r="H29" i="1"/>
  <c r="F29" i="1"/>
  <c r="E29" i="1"/>
  <c r="B29" i="1"/>
  <c r="L29" i="1" s="1"/>
  <c r="I28" i="1"/>
  <c r="F28" i="1"/>
  <c r="E28" i="1"/>
  <c r="E30" i="1" s="1"/>
  <c r="B28" i="1"/>
  <c r="L28" i="1" s="1"/>
  <c r="L27" i="1"/>
  <c r="K26" i="1"/>
  <c r="J26" i="1"/>
  <c r="H26" i="1"/>
  <c r="G26" i="1"/>
  <c r="D26" i="1"/>
  <c r="C26" i="1"/>
  <c r="I25" i="1"/>
  <c r="F25" i="1"/>
  <c r="E25" i="1"/>
  <c r="E26" i="1" s="1"/>
  <c r="B25" i="1"/>
  <c r="B26" i="1" s="1"/>
  <c r="L24" i="1"/>
  <c r="I24" i="1"/>
  <c r="I26" i="1" s="1"/>
  <c r="F24" i="1"/>
  <c r="F26" i="1" s="1"/>
  <c r="E24" i="1"/>
  <c r="B24" i="1"/>
  <c r="L23" i="1"/>
  <c r="F22" i="1"/>
  <c r="E22" i="1"/>
  <c r="D22" i="1"/>
  <c r="C22" i="1"/>
  <c r="B22" i="1"/>
  <c r="L22" i="1" s="1"/>
  <c r="K21" i="1"/>
  <c r="J21" i="1"/>
  <c r="I21" i="1"/>
  <c r="H21" i="1"/>
  <c r="G21" i="1"/>
  <c r="F21" i="1"/>
  <c r="E21" i="1"/>
  <c r="C21" i="1"/>
  <c r="B21" i="1"/>
  <c r="L21" i="1" s="1"/>
  <c r="K20" i="1"/>
  <c r="K22" i="1" s="1"/>
  <c r="J20" i="1"/>
  <c r="J22" i="1" s="1"/>
  <c r="I20" i="1"/>
  <c r="I22" i="1" s="1"/>
  <c r="H20" i="1"/>
  <c r="H22" i="1" s="1"/>
  <c r="G20" i="1"/>
  <c r="G22" i="1" s="1"/>
  <c r="F20" i="1"/>
  <c r="L20" i="1" s="1"/>
  <c r="E20" i="1"/>
  <c r="C20" i="1"/>
  <c r="B20" i="1"/>
  <c r="L19" i="1"/>
  <c r="F18" i="1"/>
  <c r="E18" i="1"/>
  <c r="D18" i="1"/>
  <c r="C18" i="1"/>
  <c r="B18" i="1"/>
  <c r="K17" i="1"/>
  <c r="J17" i="1"/>
  <c r="I17" i="1"/>
  <c r="H17" i="1"/>
  <c r="G17" i="1"/>
  <c r="F17" i="1"/>
  <c r="E17" i="1"/>
  <c r="D17" i="1"/>
  <c r="C17" i="1"/>
  <c r="L17" i="1" s="1"/>
  <c r="B17" i="1"/>
  <c r="K16" i="1"/>
  <c r="K18" i="1" s="1"/>
  <c r="J16" i="1"/>
  <c r="J18" i="1" s="1"/>
  <c r="I16" i="1"/>
  <c r="I18" i="1" s="1"/>
  <c r="H16" i="1"/>
  <c r="L16" i="1" s="1"/>
  <c r="G16" i="1"/>
  <c r="G18" i="1" s="1"/>
  <c r="F16" i="1"/>
  <c r="E16" i="1"/>
  <c r="D16" i="1"/>
  <c r="C16" i="1"/>
  <c r="B16" i="1"/>
  <c r="L15" i="1"/>
  <c r="H14" i="1"/>
  <c r="G14" i="1"/>
  <c r="F14" i="1"/>
  <c r="E14" i="1"/>
  <c r="D14" i="1"/>
  <c r="K13" i="1"/>
  <c r="J13" i="1"/>
  <c r="I13" i="1"/>
  <c r="H13" i="1"/>
  <c r="G13" i="1"/>
  <c r="F13" i="1"/>
  <c r="E13" i="1"/>
  <c r="D13" i="1"/>
  <c r="C13" i="1"/>
  <c r="C14" i="1" s="1"/>
  <c r="B13" i="1"/>
  <c r="L13" i="1" s="1"/>
  <c r="K12" i="1"/>
  <c r="K14" i="1" s="1"/>
  <c r="J12" i="1"/>
  <c r="J14" i="1" s="1"/>
  <c r="I12" i="1"/>
  <c r="I14" i="1" s="1"/>
  <c r="H12" i="1"/>
  <c r="G12" i="1"/>
  <c r="F12" i="1"/>
  <c r="E12" i="1"/>
  <c r="D12" i="1"/>
  <c r="C12" i="1"/>
  <c r="B12" i="1"/>
  <c r="B14" i="1" s="1"/>
  <c r="L11" i="1"/>
  <c r="K10" i="1"/>
  <c r="J10" i="1"/>
  <c r="I10" i="1"/>
  <c r="H10" i="1"/>
  <c r="G10" i="1"/>
  <c r="F10" i="1"/>
  <c r="F39" i="1" s="1"/>
  <c r="F59" i="1" s="1"/>
  <c r="E10" i="1"/>
  <c r="E9" i="1"/>
  <c r="D9" i="1"/>
  <c r="C9" i="1"/>
  <c r="B9" i="1"/>
  <c r="L9" i="1" s="1"/>
  <c r="E8" i="1"/>
  <c r="D8" i="1"/>
  <c r="D10" i="1" s="1"/>
  <c r="C8" i="1"/>
  <c r="C10" i="1" s="1"/>
  <c r="B8" i="1"/>
  <c r="L8" i="1" s="1"/>
  <c r="L7" i="1"/>
  <c r="L91" i="1" l="1"/>
  <c r="L57" i="1"/>
  <c r="L54" i="1"/>
  <c r="L18" i="1"/>
  <c r="F116" i="1"/>
  <c r="F117" i="1" s="1"/>
  <c r="F122" i="1" s="1"/>
  <c r="I58" i="1"/>
  <c r="G39" i="1"/>
  <c r="G59" i="1" s="1"/>
  <c r="I39" i="1"/>
  <c r="I59" i="1" s="1"/>
  <c r="I117" i="1" s="1"/>
  <c r="I122" i="1" s="1"/>
  <c r="E116" i="1"/>
  <c r="H58" i="1"/>
  <c r="L76" i="1"/>
  <c r="B58" i="1"/>
  <c r="K116" i="1"/>
  <c r="I116" i="1"/>
  <c r="J58" i="1"/>
  <c r="E39" i="1"/>
  <c r="E59" i="1" s="1"/>
  <c r="K58" i="1"/>
  <c r="K39" i="1"/>
  <c r="K59" i="1" s="1"/>
  <c r="K117" i="1" s="1"/>
  <c r="K122" i="1" s="1"/>
  <c r="D116" i="1"/>
  <c r="J39" i="1"/>
  <c r="J59" i="1" s="1"/>
  <c r="H116" i="1"/>
  <c r="L99" i="1"/>
  <c r="L14" i="1"/>
  <c r="C39" i="1"/>
  <c r="C59" i="1" s="1"/>
  <c r="C117" i="1" s="1"/>
  <c r="C122" i="1" s="1"/>
  <c r="L26" i="1"/>
  <c r="H18" i="1"/>
  <c r="H39" i="1" s="1"/>
  <c r="H59" i="1" s="1"/>
  <c r="H117" i="1" s="1"/>
  <c r="H122" i="1" s="1"/>
  <c r="D35" i="1"/>
  <c r="L53" i="1"/>
  <c r="B64" i="1"/>
  <c r="E76" i="1"/>
  <c r="L98" i="1"/>
  <c r="L25" i="1"/>
  <c r="J35" i="1"/>
  <c r="D48" i="1"/>
  <c r="L48" i="1" s="1"/>
  <c r="B72" i="1"/>
  <c r="L72" i="1" s="1"/>
  <c r="L89" i="1"/>
  <c r="B103" i="1"/>
  <c r="L103" i="1" s="1"/>
  <c r="L113" i="1"/>
  <c r="L12" i="1"/>
  <c r="G80" i="1"/>
  <c r="G116" i="1" s="1"/>
  <c r="J64" i="1"/>
  <c r="J116" i="1" s="1"/>
  <c r="B111" i="1"/>
  <c r="L111" i="1" s="1"/>
  <c r="L120" i="1"/>
  <c r="L105" i="1"/>
  <c r="B68" i="1"/>
  <c r="L68" i="1" s="1"/>
  <c r="L44" i="1"/>
  <c r="B10" i="1"/>
  <c r="B30" i="1"/>
  <c r="L30" i="1" s="1"/>
  <c r="J117" i="1" l="1"/>
  <c r="J122" i="1" s="1"/>
  <c r="L80" i="1"/>
  <c r="D58" i="1"/>
  <c r="L10" i="1"/>
  <c r="B39" i="1"/>
  <c r="G117" i="1"/>
  <c r="G122" i="1" s="1"/>
  <c r="E117" i="1"/>
  <c r="E122" i="1" s="1"/>
  <c r="L64" i="1"/>
  <c r="B116" i="1"/>
  <c r="L116" i="1" s="1"/>
  <c r="L58" i="1"/>
  <c r="L35" i="1"/>
  <c r="D39" i="1"/>
  <c r="D59" i="1" s="1"/>
  <c r="D117" i="1" s="1"/>
  <c r="D122" i="1" s="1"/>
  <c r="B59" i="1" l="1"/>
  <c r="L39" i="1"/>
  <c r="L59" i="1" l="1"/>
  <c r="B117" i="1"/>
  <c r="L117" i="1" l="1"/>
  <c r="B122" i="1"/>
  <c r="L122" i="1" s="1"/>
</calcChain>
</file>

<file path=xl/sharedStrings.xml><?xml version="1.0" encoding="utf-8"?>
<sst xmlns="http://schemas.openxmlformats.org/spreadsheetml/2006/main" count="132" uniqueCount="132">
  <si>
    <t>Jan 2024</t>
  </si>
  <si>
    <t>Feb 2024</t>
  </si>
  <si>
    <t>Mar 2024</t>
  </si>
  <si>
    <t>Apr 2024</t>
  </si>
  <si>
    <t>May 2024</t>
  </si>
  <si>
    <t>Jun 2024</t>
  </si>
  <si>
    <t>Jul 2024</t>
  </si>
  <si>
    <t>Aug 2024</t>
  </si>
  <si>
    <t>Sep 2024</t>
  </si>
  <si>
    <t>Oct 2024</t>
  </si>
  <si>
    <t>Total</t>
  </si>
  <si>
    <t>Income</t>
  </si>
  <si>
    <t xml:space="preserve">   40000 Standby Fees</t>
  </si>
  <si>
    <t xml:space="preserve">      40000-5 Standby Fees - Water</t>
  </si>
  <si>
    <t xml:space="preserve">      40000-6 Standby Fees - Sewer</t>
  </si>
  <si>
    <t xml:space="preserve">   Total 40000 Standby Fees</t>
  </si>
  <si>
    <t xml:space="preserve">   40200 Water &amp; Sewer Services</t>
  </si>
  <si>
    <t xml:space="preserve">      40200-5 Water Services</t>
  </si>
  <si>
    <t xml:space="preserve">      40200-6 Sewer Services</t>
  </si>
  <si>
    <t xml:space="preserve">   Total 40200 Water &amp; Sewer Services</t>
  </si>
  <si>
    <t xml:space="preserve">   40300 Late Charges</t>
  </si>
  <si>
    <t xml:space="preserve">      40300-5 Late Charges - Water</t>
  </si>
  <si>
    <t xml:space="preserve">      40300-6 Late Charges - Sewer</t>
  </si>
  <si>
    <t xml:space="preserve">   Total 40300 Late Charges</t>
  </si>
  <si>
    <t xml:space="preserve">   40400 Membership Fees</t>
  </si>
  <si>
    <t xml:space="preserve">      40400-5 Membership Fees - Water</t>
  </si>
  <si>
    <t xml:space="preserve">      40400-6 Membership Fees - Sewer</t>
  </si>
  <si>
    <t xml:space="preserve">   Total 40400 Membership Fees</t>
  </si>
  <si>
    <t xml:space="preserve">   40500 Equity Buy-in Fees</t>
  </si>
  <si>
    <t xml:space="preserve">      40500-5 Equity Buy-In Fees - Water</t>
  </si>
  <si>
    <t xml:space="preserve">      40500-6 Equity Buy-In Fees - Sewer</t>
  </si>
  <si>
    <t xml:space="preserve">   Total 40500 Equity Buy-in Fees</t>
  </si>
  <si>
    <t xml:space="preserve">   40600 Water &amp; Sewer Taps</t>
  </si>
  <si>
    <t xml:space="preserve">      40600-5 Water Taps</t>
  </si>
  <si>
    <t xml:space="preserve">      40600-6 Sewer Taps</t>
  </si>
  <si>
    <t xml:space="preserve">   Total 40600 Water &amp; Sewer Taps</t>
  </si>
  <si>
    <t xml:space="preserve">   40700-6 Sewer Line Damage Repair</t>
  </si>
  <si>
    <t xml:space="preserve">   46600 Credits</t>
  </si>
  <si>
    <t xml:space="preserve">      46600-5 Water Credit</t>
  </si>
  <si>
    <t xml:space="preserve">      46600-6 Sewer Credit</t>
  </si>
  <si>
    <t xml:space="preserve">   Total 46600 Credits</t>
  </si>
  <si>
    <t xml:space="preserve">   46700 Surcharge</t>
  </si>
  <si>
    <t xml:space="preserve">   49900 Uncategorized Income</t>
  </si>
  <si>
    <t xml:space="preserve">   Sales</t>
  </si>
  <si>
    <t>Total Income</t>
  </si>
  <si>
    <t>Cost of Goods Sold</t>
  </si>
  <si>
    <t xml:space="preserve">   50000 COS-Operator</t>
  </si>
  <si>
    <t xml:space="preserve">      50000-5 COS Operator - Water</t>
  </si>
  <si>
    <t xml:space="preserve">      50000-6 COS Operator - Sewer</t>
  </si>
  <si>
    <t xml:space="preserve">   Total 50000 COS-Operator</t>
  </si>
  <si>
    <t xml:space="preserve">   57500 COS-Electricity</t>
  </si>
  <si>
    <t xml:space="preserve">      57500-5 COS Electricity -Water</t>
  </si>
  <si>
    <t xml:space="preserve">      57500-6 COS Electricity -Sewer</t>
  </si>
  <si>
    <t xml:space="preserve">   Total 57500 COS-Electricity</t>
  </si>
  <si>
    <t xml:space="preserve">   58000 COS-Sludge Removal</t>
  </si>
  <si>
    <t xml:space="preserve">      58000-5 COS-Sludge Removal - Water</t>
  </si>
  <si>
    <t xml:space="preserve">   Total 58000 COS-Sludge Removal</t>
  </si>
  <si>
    <t xml:space="preserve">   58500 LCRA - Raw Water Fee</t>
  </si>
  <si>
    <t xml:space="preserve">      58550-5 Raw Water Fee-water</t>
  </si>
  <si>
    <t xml:space="preserve">   Total 58500 LCRA - Raw Water Fee</t>
  </si>
  <si>
    <t xml:space="preserve">   59000 COS-Lab Fees</t>
  </si>
  <si>
    <t xml:space="preserve">      59000-5 COS Lab Fees- Water</t>
  </si>
  <si>
    <t xml:space="preserve">   Total 59000 COS-Lab Fees</t>
  </si>
  <si>
    <t>Total Cost of Goods Sold</t>
  </si>
  <si>
    <t>Gross Profit</t>
  </si>
  <si>
    <t>Expenses</t>
  </si>
  <si>
    <t xml:space="preserve">   62000 Bank Charges</t>
  </si>
  <si>
    <t xml:space="preserve">      62000-5 Bank Charges - Water</t>
  </si>
  <si>
    <t xml:space="preserve">      62000-6 Bank Charges - Sewer</t>
  </si>
  <si>
    <t xml:space="preserve">   Total 62000 Bank Charges</t>
  </si>
  <si>
    <t xml:space="preserve">   62400 Bookkeeping</t>
  </si>
  <si>
    <t xml:space="preserve">      62400-5 Bookkeeping - Water</t>
  </si>
  <si>
    <t xml:space="preserve">      62400-6 Bookkeeping - Sewer</t>
  </si>
  <si>
    <t xml:space="preserve">   Total 62400 Bookkeeping</t>
  </si>
  <si>
    <t xml:space="preserve">   62600 Billing Services</t>
  </si>
  <si>
    <t xml:space="preserve">      62600-5 Billing - Water</t>
  </si>
  <si>
    <t xml:space="preserve">      62600-6 Billing - Sewer</t>
  </si>
  <si>
    <t xml:space="preserve">   Total 62600 Billing Services</t>
  </si>
  <si>
    <t xml:space="preserve">   63000 Legal/Appraisal</t>
  </si>
  <si>
    <t xml:space="preserve">      63100-5 Lawsuit 2017/18-Water</t>
  </si>
  <si>
    <t xml:space="preserve">      63100-6 Lawsuit 2017/18-Sewer</t>
  </si>
  <si>
    <t xml:space="preserve">   Total 63000 Legal/Appraisal</t>
  </si>
  <si>
    <t xml:space="preserve">   63500 Dues &amp; Subscriptions</t>
  </si>
  <si>
    <t xml:space="preserve">      63500-5 Dues/Subscriptions - Water</t>
  </si>
  <si>
    <t xml:space="preserve">      63500-6 Dues/Subscriptions  - Sewer</t>
  </si>
  <si>
    <t xml:space="preserve">   Total 63500 Dues &amp; Subscriptions</t>
  </si>
  <si>
    <t xml:space="preserve">   64000 TCEQ System Fee</t>
  </si>
  <si>
    <t xml:space="preserve">      64000-6 TCEQ System Fee - Sewer</t>
  </si>
  <si>
    <t xml:space="preserve">   Total 64000 TCEQ System Fee</t>
  </si>
  <si>
    <t xml:space="preserve">   65500 Insurance</t>
  </si>
  <si>
    <t xml:space="preserve">      65500-5 Insurance - Water</t>
  </si>
  <si>
    <t xml:space="preserve">      65500-6 Insurance - Sewer</t>
  </si>
  <si>
    <t xml:space="preserve">   Total 65500 Insurance</t>
  </si>
  <si>
    <t xml:space="preserve">   66500 Telephone and Internet</t>
  </si>
  <si>
    <t xml:space="preserve">      66500-5 Telephone/Internet - Water</t>
  </si>
  <si>
    <t xml:space="preserve">      66500-6 Telephone/Internet - Sewer</t>
  </si>
  <si>
    <t xml:space="preserve">   Total 66500 Telephone and Internet</t>
  </si>
  <si>
    <t xml:space="preserve">   67000 Postage &amp; Shipping Expense</t>
  </si>
  <si>
    <t xml:space="preserve">      67000-5 Postage &amp; Shipping - Water</t>
  </si>
  <si>
    <t xml:space="preserve">      67000-6 Postage &amp; Shipping - Sewer</t>
  </si>
  <si>
    <t xml:space="preserve">   Total 67000 Postage &amp; Shipping Expense</t>
  </si>
  <si>
    <t xml:space="preserve">   68500 Repairs &amp; Maintenance</t>
  </si>
  <si>
    <t xml:space="preserve">      68500-5 Repairs &amp; Maintenance - Water</t>
  </si>
  <si>
    <t xml:space="preserve">      68500-6 Repairs &amp; Maintenance - Sewer</t>
  </si>
  <si>
    <t xml:space="preserve">   Total 68500 Repairs &amp; Maintenance</t>
  </si>
  <si>
    <t xml:space="preserve">   68600 Repair Parts</t>
  </si>
  <si>
    <t xml:space="preserve">      68600-5 Repair Parts - Water</t>
  </si>
  <si>
    <t xml:space="preserve">      68600-6 Repair Parts - Sewer</t>
  </si>
  <si>
    <t xml:space="preserve">   Total 68600 Repair Parts</t>
  </si>
  <si>
    <t xml:space="preserve">   69000 Printing Expense</t>
  </si>
  <si>
    <t xml:space="preserve">      69000-5 Printing Expense - Water</t>
  </si>
  <si>
    <t xml:space="preserve">      69000-6 Printing Expense - Sewer</t>
  </si>
  <si>
    <t xml:space="preserve">   Total 69000 Printing Expense</t>
  </si>
  <si>
    <t xml:space="preserve">   71500 Interest Expense</t>
  </si>
  <si>
    <t xml:space="preserve">      71500-5 Interest Expense - Water</t>
  </si>
  <si>
    <t xml:space="preserve">      71500-6 Interest Expense - Sewer</t>
  </si>
  <si>
    <t xml:space="preserve">   Total 71500 Interest Expense</t>
  </si>
  <si>
    <t xml:space="preserve">   77500 Meetings/Conferences</t>
  </si>
  <si>
    <t xml:space="preserve">      77500-5 Meetings/Conferences-Water</t>
  </si>
  <si>
    <t xml:space="preserve">      77500-6 Meetings/Conferences-Sewer</t>
  </si>
  <si>
    <t xml:space="preserve">   Total 77500 Meetings/Conferences</t>
  </si>
  <si>
    <t>Total Expenses</t>
  </si>
  <si>
    <t>Net Operating Income</t>
  </si>
  <si>
    <t>Other Income</t>
  </si>
  <si>
    <t xml:space="preserve">   41000 Interest Income</t>
  </si>
  <si>
    <t>Total Other Income</t>
  </si>
  <si>
    <t>Net Other Income</t>
  </si>
  <si>
    <t>Net Income</t>
  </si>
  <si>
    <t>Monday, Nov 11, 2024 07:27:40 AM GMT-8 - Accrual Basis</t>
  </si>
  <si>
    <t>Windermere Oaks Water Supply Corp</t>
  </si>
  <si>
    <t>Profit and Loss</t>
  </si>
  <si>
    <t>January - October,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</si>
</sst>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6" x14ac:knownFonts="1">
    <font>
      <sz val="11"/>
      <color indexed="8"/>
      <name val="Aptos Narrow"/>
      <family val="2"/>
      <scheme val="minor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164" fontId="3" fillId="0" borderId="0" xfId="0" applyNumberFormat="1" applyFont="1" applyAlignment="1">
      <alignment wrapText="1"/>
    </xf>
    <xf numFmtId="0" fontId="3" fillId="0" borderId="0" xfId="0" applyFont="1" applyAlignment="1">
      <alignment horizontal="center"/>
    </xf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0" fontId="3" fillId="0" borderId="0" xfId="0" applyNumberFormat="1" applyFont="1" applyAlignment="1">
      <alignment wrapText="1"/>
    </xf>
    <xf numFmtId="40" fontId="3" fillId="0" borderId="0" xfId="0" applyNumberFormat="1" applyFont="1" applyAlignment="1">
      <alignment horizontal="right" wrapText="1"/>
    </xf>
    <xf numFmtId="40" fontId="2" fillId="0" borderId="2" xfId="0" applyNumberFormat="1" applyFont="1" applyBorder="1" applyAlignment="1">
      <alignment horizontal="right" wrapText="1"/>
    </xf>
    <xf numFmtId="40" fontId="2" fillId="0" borderId="3" xfId="0" applyNumberFormat="1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6"/>
  <sheetViews>
    <sheetView tabSelected="1" topLeftCell="A109" workbookViewId="0">
      <selection activeCell="H125" sqref="H125"/>
    </sheetView>
  </sheetViews>
  <sheetFormatPr defaultRowHeight="15" x14ac:dyDescent="0.25"/>
  <cols>
    <col min="1" max="1" width="37.85546875" customWidth="1"/>
    <col min="2" max="2" width="9.42578125" customWidth="1"/>
    <col min="3" max="3" width="11.140625" customWidth="1"/>
    <col min="4" max="5" width="9.42578125" customWidth="1"/>
    <col min="6" max="6" width="10.28515625" customWidth="1"/>
    <col min="7" max="9" width="11.140625" customWidth="1"/>
    <col min="10" max="10" width="9.42578125" customWidth="1"/>
    <col min="11" max="11" width="11.140625" customWidth="1"/>
    <col min="12" max="12" width="12" customWidth="1"/>
  </cols>
  <sheetData>
    <row r="1" spans="1:12" ht="18" x14ac:dyDescent="0.25">
      <c r="A1" s="7" t="s">
        <v>129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8" x14ac:dyDescent="0.25">
      <c r="A2" s="7" t="s">
        <v>130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x14ac:dyDescent="0.25">
      <c r="A3" s="8" t="s">
        <v>131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5" spans="1:12" x14ac:dyDescent="0.25">
      <c r="A5" s="1"/>
      <c r="B5" s="2" t="s">
        <v>0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7</v>
      </c>
      <c r="J5" s="2" t="s">
        <v>8</v>
      </c>
      <c r="K5" s="2" t="s">
        <v>9</v>
      </c>
      <c r="L5" s="2" t="s">
        <v>10</v>
      </c>
    </row>
    <row r="6" spans="1:12" x14ac:dyDescent="0.25">
      <c r="A6" s="3" t="s">
        <v>11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x14ac:dyDescent="0.25">
      <c r="A7" s="3" t="s">
        <v>12</v>
      </c>
      <c r="B7" s="9"/>
      <c r="C7" s="9"/>
      <c r="D7" s="9"/>
      <c r="E7" s="9"/>
      <c r="F7" s="9"/>
      <c r="G7" s="9"/>
      <c r="H7" s="9"/>
      <c r="I7" s="9"/>
      <c r="J7" s="9"/>
      <c r="K7" s="9"/>
      <c r="L7" s="10">
        <f t="shared" ref="L7:L39" si="0">(((((((((B7)+(C7))+(D7))+(E7))+(F7))+(G7))+(H7))+(I7))+(J7))+(K7)</f>
        <v>0</v>
      </c>
    </row>
    <row r="8" spans="1:12" x14ac:dyDescent="0.25">
      <c r="A8" s="3" t="s">
        <v>13</v>
      </c>
      <c r="B8" s="10">
        <f>15943.19</f>
        <v>15943.19</v>
      </c>
      <c r="C8" s="10">
        <f>154.2</f>
        <v>154.19999999999999</v>
      </c>
      <c r="D8" s="10">
        <f>372.6</f>
        <v>372.6</v>
      </c>
      <c r="E8" s="10">
        <f>124.2</f>
        <v>124.2</v>
      </c>
      <c r="F8" s="9"/>
      <c r="G8" s="9"/>
      <c r="H8" s="9"/>
      <c r="I8" s="9"/>
      <c r="J8" s="9"/>
      <c r="K8" s="9"/>
      <c r="L8" s="10">
        <f t="shared" si="0"/>
        <v>16594.190000000002</v>
      </c>
    </row>
    <row r="9" spans="1:12" x14ac:dyDescent="0.25">
      <c r="A9" s="3" t="s">
        <v>14</v>
      </c>
      <c r="B9" s="10">
        <f>9733.19</f>
        <v>9733.19</v>
      </c>
      <c r="C9" s="10">
        <f>154.2</f>
        <v>154.19999999999999</v>
      </c>
      <c r="D9" s="10">
        <f>372.6</f>
        <v>372.6</v>
      </c>
      <c r="E9" s="10">
        <f>124.2</f>
        <v>124.2</v>
      </c>
      <c r="F9" s="9"/>
      <c r="G9" s="9"/>
      <c r="H9" s="9"/>
      <c r="I9" s="9"/>
      <c r="J9" s="9"/>
      <c r="K9" s="9"/>
      <c r="L9" s="10">
        <f t="shared" si="0"/>
        <v>10384.190000000002</v>
      </c>
    </row>
    <row r="10" spans="1:12" x14ac:dyDescent="0.25">
      <c r="A10" s="3" t="s">
        <v>15</v>
      </c>
      <c r="B10" s="11">
        <f t="shared" ref="B10:K10" si="1">((B7)+(B8))+(B9)</f>
        <v>25676.38</v>
      </c>
      <c r="C10" s="11">
        <f t="shared" si="1"/>
        <v>308.39999999999998</v>
      </c>
      <c r="D10" s="11">
        <f t="shared" si="1"/>
        <v>745.2</v>
      </c>
      <c r="E10" s="11">
        <f t="shared" si="1"/>
        <v>248.4</v>
      </c>
      <c r="F10" s="11">
        <f t="shared" si="1"/>
        <v>0</v>
      </c>
      <c r="G10" s="11">
        <f t="shared" si="1"/>
        <v>0</v>
      </c>
      <c r="H10" s="11">
        <f t="shared" si="1"/>
        <v>0</v>
      </c>
      <c r="I10" s="11">
        <f t="shared" si="1"/>
        <v>0</v>
      </c>
      <c r="J10" s="11">
        <f t="shared" si="1"/>
        <v>0</v>
      </c>
      <c r="K10" s="11">
        <f t="shared" si="1"/>
        <v>0</v>
      </c>
      <c r="L10" s="11">
        <f t="shared" si="0"/>
        <v>26978.380000000005</v>
      </c>
    </row>
    <row r="11" spans="1:12" x14ac:dyDescent="0.25">
      <c r="A11" s="3" t="s">
        <v>16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10">
        <f t="shared" si="0"/>
        <v>0</v>
      </c>
    </row>
    <row r="12" spans="1:12" x14ac:dyDescent="0.25">
      <c r="A12" s="3" t="s">
        <v>17</v>
      </c>
      <c r="B12" s="10">
        <f>31624.19</f>
        <v>31624.19</v>
      </c>
      <c r="C12" s="10">
        <f>29144.15</f>
        <v>29144.15</v>
      </c>
      <c r="D12" s="10">
        <f>30414.69</f>
        <v>30414.69</v>
      </c>
      <c r="E12" s="10">
        <f>22730.37</f>
        <v>22730.37</v>
      </c>
      <c r="F12" s="10">
        <f>15136.89</f>
        <v>15136.89</v>
      </c>
      <c r="G12" s="10">
        <f>15882.45</f>
        <v>15882.45</v>
      </c>
      <c r="H12" s="10">
        <f>18871.74</f>
        <v>18871.740000000002</v>
      </c>
      <c r="I12" s="10">
        <f>18289.65</f>
        <v>18289.650000000001</v>
      </c>
      <c r="J12" s="10">
        <f>17547.69</f>
        <v>17547.689999999999</v>
      </c>
      <c r="K12" s="10">
        <f>21386.67</f>
        <v>21386.67</v>
      </c>
      <c r="L12" s="10">
        <f t="shared" si="0"/>
        <v>221028.49</v>
      </c>
    </row>
    <row r="13" spans="1:12" x14ac:dyDescent="0.25">
      <c r="A13" s="3" t="s">
        <v>18</v>
      </c>
      <c r="B13" s="10">
        <f>21464.41</f>
        <v>21464.41</v>
      </c>
      <c r="C13" s="10">
        <f>19395.12</f>
        <v>19395.12</v>
      </c>
      <c r="D13" s="10">
        <f>20836.11</f>
        <v>20836.11</v>
      </c>
      <c r="E13" s="10">
        <f>14895.77</f>
        <v>14895.77</v>
      </c>
      <c r="F13" s="10">
        <f>12132.9</f>
        <v>12132.9</v>
      </c>
      <c r="G13" s="10">
        <f>12189.55</f>
        <v>12189.55</v>
      </c>
      <c r="H13" s="10">
        <f>13353.75</f>
        <v>13353.75</v>
      </c>
      <c r="I13" s="10">
        <f>13364.97</f>
        <v>13364.97</v>
      </c>
      <c r="J13" s="10">
        <f>13124.91</f>
        <v>13124.91</v>
      </c>
      <c r="K13" s="10">
        <f>14744.23</f>
        <v>14744.23</v>
      </c>
      <c r="L13" s="10">
        <f t="shared" si="0"/>
        <v>155501.72</v>
      </c>
    </row>
    <row r="14" spans="1:12" x14ac:dyDescent="0.25">
      <c r="A14" s="3" t="s">
        <v>19</v>
      </c>
      <c r="B14" s="11">
        <f t="shared" ref="B14:K14" si="2">((B11)+(B12))+(B13)</f>
        <v>53088.6</v>
      </c>
      <c r="C14" s="11">
        <f t="shared" si="2"/>
        <v>48539.270000000004</v>
      </c>
      <c r="D14" s="11">
        <f t="shared" si="2"/>
        <v>51250.8</v>
      </c>
      <c r="E14" s="11">
        <f t="shared" si="2"/>
        <v>37626.14</v>
      </c>
      <c r="F14" s="11">
        <f t="shared" si="2"/>
        <v>27269.79</v>
      </c>
      <c r="G14" s="11">
        <f t="shared" si="2"/>
        <v>28072</v>
      </c>
      <c r="H14" s="11">
        <f t="shared" si="2"/>
        <v>32225.49</v>
      </c>
      <c r="I14" s="11">
        <f t="shared" si="2"/>
        <v>31654.620000000003</v>
      </c>
      <c r="J14" s="11">
        <f t="shared" si="2"/>
        <v>30672.6</v>
      </c>
      <c r="K14" s="11">
        <f t="shared" si="2"/>
        <v>36130.899999999994</v>
      </c>
      <c r="L14" s="11">
        <f t="shared" si="0"/>
        <v>376530.20999999996</v>
      </c>
    </row>
    <row r="15" spans="1:12" x14ac:dyDescent="0.25">
      <c r="A15" s="3" t="s">
        <v>20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10">
        <f t="shared" si="0"/>
        <v>0</v>
      </c>
    </row>
    <row r="16" spans="1:12" x14ac:dyDescent="0.25">
      <c r="A16" s="3" t="s">
        <v>21</v>
      </c>
      <c r="B16" s="10">
        <f>353.55</f>
        <v>353.55</v>
      </c>
      <c r="C16" s="10">
        <f>338.82</f>
        <v>338.82</v>
      </c>
      <c r="D16" s="10">
        <f>580.1</f>
        <v>580.1</v>
      </c>
      <c r="E16" s="10">
        <f>481.73</f>
        <v>481.73</v>
      </c>
      <c r="F16" s="10">
        <f>350.26</f>
        <v>350.26</v>
      </c>
      <c r="G16" s="10">
        <f>114.61</f>
        <v>114.61</v>
      </c>
      <c r="H16" s="10">
        <f>235.72</f>
        <v>235.72</v>
      </c>
      <c r="I16" s="10">
        <f>127.38</f>
        <v>127.38</v>
      </c>
      <c r="J16" s="10">
        <f>138.64</f>
        <v>138.63999999999999</v>
      </c>
      <c r="K16" s="10">
        <f>393.69</f>
        <v>393.69</v>
      </c>
      <c r="L16" s="10">
        <f t="shared" si="0"/>
        <v>3114.5</v>
      </c>
    </row>
    <row r="17" spans="1:12" x14ac:dyDescent="0.25">
      <c r="A17" s="3" t="s">
        <v>22</v>
      </c>
      <c r="B17" s="10">
        <f>240.42</f>
        <v>240.42</v>
      </c>
      <c r="C17" s="10">
        <f>214.63</f>
        <v>214.63</v>
      </c>
      <c r="D17" s="10">
        <f>379.4</f>
        <v>379.4</v>
      </c>
      <c r="E17" s="10">
        <f>275.51</f>
        <v>275.51</v>
      </c>
      <c r="F17" s="10">
        <f>281.83</f>
        <v>281.83</v>
      </c>
      <c r="G17" s="10">
        <f>141.96</f>
        <v>141.96</v>
      </c>
      <c r="H17" s="10">
        <f>363.34</f>
        <v>363.34</v>
      </c>
      <c r="I17" s="10">
        <f>99.99</f>
        <v>99.99</v>
      </c>
      <c r="J17" s="10">
        <f>102.34</f>
        <v>102.34</v>
      </c>
      <c r="K17" s="10">
        <f>276.94</f>
        <v>276.94</v>
      </c>
      <c r="L17" s="10">
        <f t="shared" si="0"/>
        <v>2376.36</v>
      </c>
    </row>
    <row r="18" spans="1:12" x14ac:dyDescent="0.25">
      <c r="A18" s="3" t="s">
        <v>23</v>
      </c>
      <c r="B18" s="11">
        <f t="shared" ref="B18:K18" si="3">((B15)+(B16))+(B17)</f>
        <v>593.97</v>
      </c>
      <c r="C18" s="11">
        <f t="shared" si="3"/>
        <v>553.45000000000005</v>
      </c>
      <c r="D18" s="11">
        <f t="shared" si="3"/>
        <v>959.5</v>
      </c>
      <c r="E18" s="11">
        <f t="shared" si="3"/>
        <v>757.24</v>
      </c>
      <c r="F18" s="11">
        <f t="shared" si="3"/>
        <v>632.08999999999992</v>
      </c>
      <c r="G18" s="11">
        <f t="shared" si="3"/>
        <v>256.57</v>
      </c>
      <c r="H18" s="11">
        <f t="shared" si="3"/>
        <v>599.05999999999995</v>
      </c>
      <c r="I18" s="11">
        <f t="shared" si="3"/>
        <v>227.37</v>
      </c>
      <c r="J18" s="11">
        <f t="shared" si="3"/>
        <v>240.98</v>
      </c>
      <c r="K18" s="11">
        <f t="shared" si="3"/>
        <v>670.63</v>
      </c>
      <c r="L18" s="11">
        <f t="shared" si="0"/>
        <v>5490.86</v>
      </c>
    </row>
    <row r="19" spans="1:12" x14ac:dyDescent="0.25">
      <c r="A19" s="3" t="s">
        <v>24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10">
        <f t="shared" si="0"/>
        <v>0</v>
      </c>
    </row>
    <row r="20" spans="1:12" x14ac:dyDescent="0.25">
      <c r="A20" s="3" t="s">
        <v>25</v>
      </c>
      <c r="B20" s="10">
        <f>201.25</f>
        <v>201.25</v>
      </c>
      <c r="C20" s="10">
        <f>201.25</f>
        <v>201.25</v>
      </c>
      <c r="D20" s="9"/>
      <c r="E20" s="10">
        <f>402.5</f>
        <v>402.5</v>
      </c>
      <c r="F20" s="10">
        <f>201.25</f>
        <v>201.25</v>
      </c>
      <c r="G20" s="10">
        <f>402.5</f>
        <v>402.5</v>
      </c>
      <c r="H20" s="10">
        <f>-148.75</f>
        <v>-148.75</v>
      </c>
      <c r="I20" s="10">
        <f>-350</f>
        <v>-350</v>
      </c>
      <c r="J20" s="10">
        <f>26.25</f>
        <v>26.25</v>
      </c>
      <c r="K20" s="10">
        <f>26.25</f>
        <v>26.25</v>
      </c>
      <c r="L20" s="10">
        <f t="shared" si="0"/>
        <v>962.5</v>
      </c>
    </row>
    <row r="21" spans="1:12" x14ac:dyDescent="0.25">
      <c r="A21" s="3" t="s">
        <v>26</v>
      </c>
      <c r="B21" s="10">
        <f>201.25</f>
        <v>201.25</v>
      </c>
      <c r="C21" s="10">
        <f>201.25</f>
        <v>201.25</v>
      </c>
      <c r="D21" s="9"/>
      <c r="E21" s="10">
        <f>402.5</f>
        <v>402.5</v>
      </c>
      <c r="F21" s="10">
        <f>201.25</f>
        <v>201.25</v>
      </c>
      <c r="G21" s="10">
        <f>402.5</f>
        <v>402.5</v>
      </c>
      <c r="H21" s="10">
        <f>-148.75</f>
        <v>-148.75</v>
      </c>
      <c r="I21" s="10">
        <f>-350</f>
        <v>-350</v>
      </c>
      <c r="J21" s="10">
        <f>26.25</f>
        <v>26.25</v>
      </c>
      <c r="K21" s="10">
        <f>26.25</f>
        <v>26.25</v>
      </c>
      <c r="L21" s="10">
        <f t="shared" si="0"/>
        <v>962.5</v>
      </c>
    </row>
    <row r="22" spans="1:12" x14ac:dyDescent="0.25">
      <c r="A22" s="3" t="s">
        <v>27</v>
      </c>
      <c r="B22" s="11">
        <f t="shared" ref="B22:K22" si="4">((B19)+(B20))+(B21)</f>
        <v>402.5</v>
      </c>
      <c r="C22" s="11">
        <f t="shared" si="4"/>
        <v>402.5</v>
      </c>
      <c r="D22" s="11">
        <f t="shared" si="4"/>
        <v>0</v>
      </c>
      <c r="E22" s="11">
        <f t="shared" si="4"/>
        <v>805</v>
      </c>
      <c r="F22" s="11">
        <f t="shared" si="4"/>
        <v>402.5</v>
      </c>
      <c r="G22" s="11">
        <f t="shared" si="4"/>
        <v>805</v>
      </c>
      <c r="H22" s="11">
        <f t="shared" si="4"/>
        <v>-297.5</v>
      </c>
      <c r="I22" s="11">
        <f t="shared" si="4"/>
        <v>-700</v>
      </c>
      <c r="J22" s="11">
        <f t="shared" si="4"/>
        <v>52.5</v>
      </c>
      <c r="K22" s="11">
        <f t="shared" si="4"/>
        <v>52.5</v>
      </c>
      <c r="L22" s="11">
        <f t="shared" si="0"/>
        <v>1925</v>
      </c>
    </row>
    <row r="23" spans="1:12" x14ac:dyDescent="0.25">
      <c r="A23" s="3" t="s">
        <v>28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10">
        <f t="shared" si="0"/>
        <v>0</v>
      </c>
    </row>
    <row r="24" spans="1:12" x14ac:dyDescent="0.25">
      <c r="A24" s="3" t="s">
        <v>29</v>
      </c>
      <c r="B24" s="10">
        <f>2300</f>
        <v>2300</v>
      </c>
      <c r="C24" s="9"/>
      <c r="D24" s="9"/>
      <c r="E24" s="10">
        <f>2300</f>
        <v>2300</v>
      </c>
      <c r="F24" s="10">
        <f>2300</f>
        <v>2300</v>
      </c>
      <c r="G24" s="9"/>
      <c r="H24" s="9"/>
      <c r="I24" s="10">
        <f>2300</f>
        <v>2300</v>
      </c>
      <c r="J24" s="9"/>
      <c r="K24" s="9"/>
      <c r="L24" s="10">
        <f t="shared" si="0"/>
        <v>9200</v>
      </c>
    </row>
    <row r="25" spans="1:12" x14ac:dyDescent="0.25">
      <c r="A25" s="3" t="s">
        <v>30</v>
      </c>
      <c r="B25" s="10">
        <f>2300</f>
        <v>2300</v>
      </c>
      <c r="C25" s="9"/>
      <c r="D25" s="9"/>
      <c r="E25" s="10">
        <f>2300</f>
        <v>2300</v>
      </c>
      <c r="F25" s="10">
        <f>2300</f>
        <v>2300</v>
      </c>
      <c r="G25" s="9"/>
      <c r="H25" s="9"/>
      <c r="I25" s="10">
        <f>2300</f>
        <v>2300</v>
      </c>
      <c r="J25" s="9"/>
      <c r="K25" s="9"/>
      <c r="L25" s="10">
        <f t="shared" si="0"/>
        <v>9200</v>
      </c>
    </row>
    <row r="26" spans="1:12" x14ac:dyDescent="0.25">
      <c r="A26" s="3" t="s">
        <v>31</v>
      </c>
      <c r="B26" s="11">
        <f t="shared" ref="B26:K26" si="5">((B23)+(B24))+(B25)</f>
        <v>4600</v>
      </c>
      <c r="C26" s="11">
        <f t="shared" si="5"/>
        <v>0</v>
      </c>
      <c r="D26" s="11">
        <f t="shared" si="5"/>
        <v>0</v>
      </c>
      <c r="E26" s="11">
        <f t="shared" si="5"/>
        <v>4600</v>
      </c>
      <c r="F26" s="11">
        <f t="shared" si="5"/>
        <v>4600</v>
      </c>
      <c r="G26" s="11">
        <f t="shared" si="5"/>
        <v>0</v>
      </c>
      <c r="H26" s="11">
        <f t="shared" si="5"/>
        <v>0</v>
      </c>
      <c r="I26" s="11">
        <f t="shared" si="5"/>
        <v>4600</v>
      </c>
      <c r="J26" s="11">
        <f t="shared" si="5"/>
        <v>0</v>
      </c>
      <c r="K26" s="11">
        <f t="shared" si="5"/>
        <v>0</v>
      </c>
      <c r="L26" s="11">
        <f t="shared" si="0"/>
        <v>18400</v>
      </c>
    </row>
    <row r="27" spans="1:12" x14ac:dyDescent="0.25">
      <c r="A27" s="3" t="s">
        <v>32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10">
        <f t="shared" si="0"/>
        <v>0</v>
      </c>
    </row>
    <row r="28" spans="1:12" x14ac:dyDescent="0.25">
      <c r="A28" s="3" t="s">
        <v>33</v>
      </c>
      <c r="B28" s="10">
        <f>862.5</f>
        <v>862.5</v>
      </c>
      <c r="C28" s="9"/>
      <c r="D28" s="9"/>
      <c r="E28" s="10">
        <f>862.5</f>
        <v>862.5</v>
      </c>
      <c r="F28" s="10">
        <f>862.5</f>
        <v>862.5</v>
      </c>
      <c r="G28" s="9"/>
      <c r="H28" s="9"/>
      <c r="I28" s="10">
        <f>862.5</f>
        <v>862.5</v>
      </c>
      <c r="J28" s="9"/>
      <c r="K28" s="9"/>
      <c r="L28" s="10">
        <f t="shared" si="0"/>
        <v>3450</v>
      </c>
    </row>
    <row r="29" spans="1:12" x14ac:dyDescent="0.25">
      <c r="A29" s="3" t="s">
        <v>34</v>
      </c>
      <c r="B29" s="10">
        <f>862.5</f>
        <v>862.5</v>
      </c>
      <c r="C29" s="9"/>
      <c r="D29" s="9"/>
      <c r="E29" s="10">
        <f>862.5</f>
        <v>862.5</v>
      </c>
      <c r="F29" s="10">
        <f>862.5</f>
        <v>862.5</v>
      </c>
      <c r="G29" s="9"/>
      <c r="H29" s="10">
        <f>1725</f>
        <v>1725</v>
      </c>
      <c r="I29" s="10">
        <f>862.5</f>
        <v>862.5</v>
      </c>
      <c r="J29" s="9"/>
      <c r="K29" s="9"/>
      <c r="L29" s="10">
        <f t="shared" si="0"/>
        <v>5175</v>
      </c>
    </row>
    <row r="30" spans="1:12" x14ac:dyDescent="0.25">
      <c r="A30" s="3" t="s">
        <v>35</v>
      </c>
      <c r="B30" s="11">
        <f t="shared" ref="B30:K30" si="6">((B27)+(B28))+(B29)</f>
        <v>1725</v>
      </c>
      <c r="C30" s="11">
        <f t="shared" si="6"/>
        <v>0</v>
      </c>
      <c r="D30" s="11">
        <f t="shared" si="6"/>
        <v>0</v>
      </c>
      <c r="E30" s="11">
        <f t="shared" si="6"/>
        <v>1725</v>
      </c>
      <c r="F30" s="11">
        <f t="shared" si="6"/>
        <v>1725</v>
      </c>
      <c r="G30" s="11">
        <f t="shared" si="6"/>
        <v>0</v>
      </c>
      <c r="H30" s="11">
        <f t="shared" si="6"/>
        <v>1725</v>
      </c>
      <c r="I30" s="11">
        <f t="shared" si="6"/>
        <v>1725</v>
      </c>
      <c r="J30" s="11">
        <f t="shared" si="6"/>
        <v>0</v>
      </c>
      <c r="K30" s="11">
        <f t="shared" si="6"/>
        <v>0</v>
      </c>
      <c r="L30" s="11">
        <f t="shared" si="0"/>
        <v>8625</v>
      </c>
    </row>
    <row r="31" spans="1:12" x14ac:dyDescent="0.25">
      <c r="A31" s="3" t="s">
        <v>36</v>
      </c>
      <c r="B31" s="9"/>
      <c r="C31" s="10">
        <f>800</f>
        <v>800</v>
      </c>
      <c r="D31" s="9"/>
      <c r="E31" s="9"/>
      <c r="F31" s="9"/>
      <c r="G31" s="9"/>
      <c r="H31" s="9"/>
      <c r="I31" s="9"/>
      <c r="J31" s="9"/>
      <c r="K31" s="9"/>
      <c r="L31" s="10">
        <f t="shared" si="0"/>
        <v>800</v>
      </c>
    </row>
    <row r="32" spans="1:12" x14ac:dyDescent="0.25">
      <c r="A32" s="3" t="s">
        <v>37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10">
        <f t="shared" si="0"/>
        <v>0</v>
      </c>
    </row>
    <row r="33" spans="1:12" x14ac:dyDescent="0.25">
      <c r="A33" s="3" t="s">
        <v>38</v>
      </c>
      <c r="B33" s="9"/>
      <c r="C33" s="9"/>
      <c r="D33" s="10">
        <f>-1046.16</f>
        <v>-1046.1600000000001</v>
      </c>
      <c r="E33" s="10">
        <f>-11828.65</f>
        <v>-11828.65</v>
      </c>
      <c r="F33" s="10">
        <f>-10897.5</f>
        <v>-10897.5</v>
      </c>
      <c r="G33" s="10">
        <f>-11844.61</f>
        <v>-11844.61</v>
      </c>
      <c r="H33" s="10">
        <f>-11615</f>
        <v>-11615</v>
      </c>
      <c r="I33" s="10">
        <f>-11461.01</f>
        <v>-11461.01</v>
      </c>
      <c r="J33" s="10">
        <f>-11407.76</f>
        <v>-11407.76</v>
      </c>
      <c r="K33" s="10">
        <f>-12298.97</f>
        <v>-12298.97</v>
      </c>
      <c r="L33" s="10">
        <f t="shared" si="0"/>
        <v>-82399.66</v>
      </c>
    </row>
    <row r="34" spans="1:12" x14ac:dyDescent="0.25">
      <c r="A34" s="3" t="s">
        <v>39</v>
      </c>
      <c r="B34" s="9"/>
      <c r="C34" s="9"/>
      <c r="D34" s="10">
        <f>-768.72</f>
        <v>-768.72</v>
      </c>
      <c r="E34" s="10">
        <f>-8093.37</f>
        <v>-8093.37</v>
      </c>
      <c r="F34" s="10">
        <f>-7634.7</f>
        <v>-7634.7</v>
      </c>
      <c r="G34" s="10">
        <f>-8078.49</f>
        <v>-8078.49</v>
      </c>
      <c r="H34" s="10">
        <f>-8220.54</f>
        <v>-8220.5400000000009</v>
      </c>
      <c r="I34" s="10">
        <f>-7760.38</f>
        <v>-7760.38</v>
      </c>
      <c r="J34" s="10">
        <f>-7918.15</f>
        <v>-7918.15</v>
      </c>
      <c r="K34" s="10">
        <f>-8150.68</f>
        <v>-8150.68</v>
      </c>
      <c r="L34" s="10">
        <f t="shared" si="0"/>
        <v>-56625.03</v>
      </c>
    </row>
    <row r="35" spans="1:12" x14ac:dyDescent="0.25">
      <c r="A35" s="3" t="s">
        <v>40</v>
      </c>
      <c r="B35" s="11">
        <f t="shared" ref="B35:K35" si="7">((B32)+(B33))+(B34)</f>
        <v>0</v>
      </c>
      <c r="C35" s="11">
        <f t="shared" si="7"/>
        <v>0</v>
      </c>
      <c r="D35" s="11">
        <f t="shared" si="7"/>
        <v>-1814.88</v>
      </c>
      <c r="E35" s="11">
        <f t="shared" si="7"/>
        <v>-19922.02</v>
      </c>
      <c r="F35" s="11">
        <f t="shared" si="7"/>
        <v>-18532.2</v>
      </c>
      <c r="G35" s="11">
        <f t="shared" si="7"/>
        <v>-19923.099999999999</v>
      </c>
      <c r="H35" s="11">
        <f t="shared" si="7"/>
        <v>-19835.54</v>
      </c>
      <c r="I35" s="11">
        <f t="shared" si="7"/>
        <v>-19221.39</v>
      </c>
      <c r="J35" s="11">
        <f t="shared" si="7"/>
        <v>-19325.91</v>
      </c>
      <c r="K35" s="11">
        <f t="shared" si="7"/>
        <v>-20449.650000000001</v>
      </c>
      <c r="L35" s="11">
        <f t="shared" si="0"/>
        <v>-139024.69</v>
      </c>
    </row>
    <row r="36" spans="1:12" x14ac:dyDescent="0.25">
      <c r="A36" s="3" t="s">
        <v>41</v>
      </c>
      <c r="B36" s="9"/>
      <c r="C36" s="9"/>
      <c r="D36" s="10">
        <f>941.45</f>
        <v>941.45</v>
      </c>
      <c r="E36" s="10">
        <f>10912.93</f>
        <v>10912.93</v>
      </c>
      <c r="F36" s="10">
        <f>9959.34</f>
        <v>9959.34</v>
      </c>
      <c r="G36" s="10">
        <f>11124.96</f>
        <v>11124.96</v>
      </c>
      <c r="H36" s="10">
        <f>10642.26</f>
        <v>10642.26</v>
      </c>
      <c r="I36" s="10">
        <f>10387.68</f>
        <v>10387.68</v>
      </c>
      <c r="J36" s="10">
        <f>10423.93</f>
        <v>10423.93</v>
      </c>
      <c r="K36" s="10">
        <f>11296.78</f>
        <v>11296.78</v>
      </c>
      <c r="L36" s="10">
        <f t="shared" si="0"/>
        <v>75689.33</v>
      </c>
    </row>
    <row r="37" spans="1:12" x14ac:dyDescent="0.25">
      <c r="A37" s="3" t="s">
        <v>42</v>
      </c>
      <c r="B37" s="9"/>
      <c r="C37" s="9"/>
      <c r="D37" s="10">
        <f>3558.01</f>
        <v>3558.01</v>
      </c>
      <c r="E37" s="9"/>
      <c r="F37" s="9"/>
      <c r="G37" s="9"/>
      <c r="H37" s="9"/>
      <c r="I37" s="9"/>
      <c r="J37" s="9"/>
      <c r="K37" s="9"/>
      <c r="L37" s="10">
        <f t="shared" si="0"/>
        <v>3558.01</v>
      </c>
    </row>
    <row r="38" spans="1:12" x14ac:dyDescent="0.25">
      <c r="A38" s="3" t="s">
        <v>43</v>
      </c>
      <c r="B38" s="9"/>
      <c r="C38" s="9"/>
      <c r="D38" s="9"/>
      <c r="E38" s="10">
        <f>36443.97</f>
        <v>36443.97</v>
      </c>
      <c r="F38" s="10">
        <f>556.88</f>
        <v>556.88</v>
      </c>
      <c r="G38" s="10">
        <f>317.82</f>
        <v>317.82</v>
      </c>
      <c r="H38" s="9"/>
      <c r="I38" s="9"/>
      <c r="J38" s="9"/>
      <c r="K38" s="9"/>
      <c r="L38" s="10">
        <f t="shared" si="0"/>
        <v>37318.67</v>
      </c>
    </row>
    <row r="39" spans="1:12" x14ac:dyDescent="0.25">
      <c r="A39" s="3" t="s">
        <v>44</v>
      </c>
      <c r="B39" s="11">
        <f t="shared" ref="B39:K39" si="8">((((((((((B10)+(B14))+(B18))+(B22))+(B26))+(B30))+(B31))+(B35))+(B36))+(B37))+(B38)</f>
        <v>86086.45</v>
      </c>
      <c r="C39" s="11">
        <f t="shared" si="8"/>
        <v>50603.62</v>
      </c>
      <c r="D39" s="11">
        <f t="shared" si="8"/>
        <v>55640.08</v>
      </c>
      <c r="E39" s="11">
        <f t="shared" si="8"/>
        <v>73196.66</v>
      </c>
      <c r="F39" s="11">
        <f t="shared" si="8"/>
        <v>26613.400000000005</v>
      </c>
      <c r="G39" s="11">
        <f t="shared" si="8"/>
        <v>20653.25</v>
      </c>
      <c r="H39" s="11">
        <f t="shared" si="8"/>
        <v>25058.770000000004</v>
      </c>
      <c r="I39" s="11">
        <f t="shared" si="8"/>
        <v>28673.280000000006</v>
      </c>
      <c r="J39" s="11">
        <f t="shared" si="8"/>
        <v>22064.1</v>
      </c>
      <c r="K39" s="11">
        <f t="shared" si="8"/>
        <v>27701.159999999989</v>
      </c>
      <c r="L39" s="11">
        <f t="shared" si="0"/>
        <v>416290.77000000008</v>
      </c>
    </row>
    <row r="40" spans="1:12" x14ac:dyDescent="0.25">
      <c r="A40" s="3" t="s">
        <v>45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</row>
    <row r="41" spans="1:12" x14ac:dyDescent="0.25">
      <c r="A41" s="3" t="s">
        <v>46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10">
        <f t="shared" ref="L41:L59" si="9">(((((((((B41)+(C41))+(D41))+(E41))+(F41))+(G41))+(H41))+(I41))+(J41))+(K41)</f>
        <v>0</v>
      </c>
    </row>
    <row r="42" spans="1:12" x14ac:dyDescent="0.25">
      <c r="A42" s="3" t="s">
        <v>47</v>
      </c>
      <c r="B42" s="10">
        <f>14119.8</f>
        <v>14119.8</v>
      </c>
      <c r="C42" s="10">
        <f>39930.39</f>
        <v>39930.39</v>
      </c>
      <c r="D42" s="9"/>
      <c r="E42" s="10">
        <f>19959.42</f>
        <v>19959.419999999998</v>
      </c>
      <c r="F42" s="9"/>
      <c r="G42" s="10">
        <f>33584.92</f>
        <v>33584.92</v>
      </c>
      <c r="H42" s="9"/>
      <c r="I42" s="10">
        <f>13811.82</f>
        <v>13811.82</v>
      </c>
      <c r="J42" s="9"/>
      <c r="K42" s="10">
        <f>61344.8</f>
        <v>61344.800000000003</v>
      </c>
      <c r="L42" s="10">
        <f t="shared" si="9"/>
        <v>182751.15000000002</v>
      </c>
    </row>
    <row r="43" spans="1:12" x14ac:dyDescent="0.25">
      <c r="A43" s="3" t="s">
        <v>48</v>
      </c>
      <c r="B43" s="10">
        <f>9413.2</f>
        <v>9413.2000000000007</v>
      </c>
      <c r="C43" s="10">
        <f>39930.37</f>
        <v>39930.370000000003</v>
      </c>
      <c r="D43" s="9"/>
      <c r="E43" s="10">
        <f>13306.28</f>
        <v>13306.28</v>
      </c>
      <c r="F43" s="9"/>
      <c r="G43" s="10">
        <f>22389.96</f>
        <v>22389.96</v>
      </c>
      <c r="H43" s="9"/>
      <c r="I43" s="10">
        <f>9207.88</f>
        <v>9207.8799999999992</v>
      </c>
      <c r="J43" s="9"/>
      <c r="K43" s="10">
        <f>40896.54</f>
        <v>40896.54</v>
      </c>
      <c r="L43" s="10">
        <f t="shared" si="9"/>
        <v>135144.23000000001</v>
      </c>
    </row>
    <row r="44" spans="1:12" x14ac:dyDescent="0.25">
      <c r="A44" s="3" t="s">
        <v>49</v>
      </c>
      <c r="B44" s="11">
        <f t="shared" ref="B44:K44" si="10">((B41)+(B42))+(B43)</f>
        <v>23533</v>
      </c>
      <c r="C44" s="11">
        <f t="shared" si="10"/>
        <v>79860.760000000009</v>
      </c>
      <c r="D44" s="11">
        <f t="shared" si="10"/>
        <v>0</v>
      </c>
      <c r="E44" s="11">
        <f t="shared" si="10"/>
        <v>33265.699999999997</v>
      </c>
      <c r="F44" s="11">
        <f t="shared" si="10"/>
        <v>0</v>
      </c>
      <c r="G44" s="11">
        <f t="shared" si="10"/>
        <v>55974.879999999997</v>
      </c>
      <c r="H44" s="11">
        <f t="shared" si="10"/>
        <v>0</v>
      </c>
      <c r="I44" s="11">
        <f t="shared" si="10"/>
        <v>23019.699999999997</v>
      </c>
      <c r="J44" s="11">
        <f t="shared" si="10"/>
        <v>0</v>
      </c>
      <c r="K44" s="11">
        <f t="shared" si="10"/>
        <v>102241.34</v>
      </c>
      <c r="L44" s="11">
        <f t="shared" si="9"/>
        <v>317895.38</v>
      </c>
    </row>
    <row r="45" spans="1:12" x14ac:dyDescent="0.25">
      <c r="A45" s="3" t="s">
        <v>50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10">
        <f t="shared" si="9"/>
        <v>0</v>
      </c>
    </row>
    <row r="46" spans="1:12" x14ac:dyDescent="0.25">
      <c r="A46" s="3" t="s">
        <v>51</v>
      </c>
      <c r="B46" s="10">
        <f>1416.07</f>
        <v>1416.07</v>
      </c>
      <c r="C46" s="10">
        <f>1373.5</f>
        <v>1373.5</v>
      </c>
      <c r="D46" s="10">
        <f>1057.4</f>
        <v>1057.4000000000001</v>
      </c>
      <c r="E46" s="10">
        <f>1089.01</f>
        <v>1089.01</v>
      </c>
      <c r="F46" s="10">
        <f>1099.53</f>
        <v>1099.53</v>
      </c>
      <c r="G46" s="10">
        <f>1250.45</f>
        <v>1250.45</v>
      </c>
      <c r="H46" s="10">
        <f>1364.68</f>
        <v>1364.68</v>
      </c>
      <c r="I46" s="10">
        <f>1375.07</f>
        <v>1375.07</v>
      </c>
      <c r="J46" s="10">
        <f>1484.11</f>
        <v>1484.11</v>
      </c>
      <c r="K46" s="10">
        <f>1511.48</f>
        <v>1511.48</v>
      </c>
      <c r="L46" s="10">
        <f t="shared" si="9"/>
        <v>13021.3</v>
      </c>
    </row>
    <row r="47" spans="1:12" x14ac:dyDescent="0.25">
      <c r="A47" s="3" t="s">
        <v>52</v>
      </c>
      <c r="B47" s="10">
        <f>1155.82</f>
        <v>1155.82</v>
      </c>
      <c r="C47" s="10">
        <f>1108.28</f>
        <v>1108.28</v>
      </c>
      <c r="D47" s="10">
        <f>1052.66</f>
        <v>1052.6600000000001</v>
      </c>
      <c r="E47" s="10">
        <f>1062.37</f>
        <v>1062.3699999999999</v>
      </c>
      <c r="F47" s="10">
        <f>1075.21</f>
        <v>1075.21</v>
      </c>
      <c r="G47" s="10">
        <f>2242</f>
        <v>2242</v>
      </c>
      <c r="H47" s="10">
        <f>1073.03</f>
        <v>1073.03</v>
      </c>
      <c r="I47" s="10">
        <f>1005.62</f>
        <v>1005.62</v>
      </c>
      <c r="J47" s="10">
        <f>1080.6</f>
        <v>1080.5999999999999</v>
      </c>
      <c r="K47" s="10">
        <f>1057.89</f>
        <v>1057.8900000000001</v>
      </c>
      <c r="L47" s="10">
        <f t="shared" si="9"/>
        <v>11913.480000000001</v>
      </c>
    </row>
    <row r="48" spans="1:12" x14ac:dyDescent="0.25">
      <c r="A48" s="3" t="s">
        <v>53</v>
      </c>
      <c r="B48" s="11">
        <f t="shared" ref="B48:K48" si="11">((B45)+(B46))+(B47)</f>
        <v>2571.89</v>
      </c>
      <c r="C48" s="11">
        <f t="shared" si="11"/>
        <v>2481.7799999999997</v>
      </c>
      <c r="D48" s="11">
        <f t="shared" si="11"/>
        <v>2110.0600000000004</v>
      </c>
      <c r="E48" s="11">
        <f t="shared" si="11"/>
        <v>2151.38</v>
      </c>
      <c r="F48" s="11">
        <f t="shared" si="11"/>
        <v>2174.7399999999998</v>
      </c>
      <c r="G48" s="11">
        <f t="shared" si="11"/>
        <v>3492.45</v>
      </c>
      <c r="H48" s="11">
        <f t="shared" si="11"/>
        <v>2437.71</v>
      </c>
      <c r="I48" s="11">
        <f t="shared" si="11"/>
        <v>2380.69</v>
      </c>
      <c r="J48" s="11">
        <f t="shared" si="11"/>
        <v>2564.71</v>
      </c>
      <c r="K48" s="11">
        <f t="shared" si="11"/>
        <v>2569.37</v>
      </c>
      <c r="L48" s="11">
        <f t="shared" si="9"/>
        <v>24934.779999999995</v>
      </c>
    </row>
    <row r="49" spans="1:12" x14ac:dyDescent="0.25">
      <c r="A49" s="3" t="s">
        <v>54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10">
        <f t="shared" si="9"/>
        <v>0</v>
      </c>
    </row>
    <row r="50" spans="1:12" x14ac:dyDescent="0.25">
      <c r="A50" s="3" t="s">
        <v>55</v>
      </c>
      <c r="B50" s="9"/>
      <c r="C50" s="9"/>
      <c r="D50" s="10">
        <f>2099.09</f>
        <v>2099.09</v>
      </c>
      <c r="E50" s="9"/>
      <c r="F50" s="9"/>
      <c r="G50" s="9"/>
      <c r="H50" s="9"/>
      <c r="I50" s="9"/>
      <c r="J50" s="9"/>
      <c r="K50" s="9"/>
      <c r="L50" s="10">
        <f t="shared" si="9"/>
        <v>2099.09</v>
      </c>
    </row>
    <row r="51" spans="1:12" x14ac:dyDescent="0.25">
      <c r="A51" s="3" t="s">
        <v>56</v>
      </c>
      <c r="B51" s="11">
        <f t="shared" ref="B51:K51" si="12">(B49)+(B50)</f>
        <v>0</v>
      </c>
      <c r="C51" s="11">
        <f t="shared" si="12"/>
        <v>0</v>
      </c>
      <c r="D51" s="11">
        <f t="shared" si="12"/>
        <v>2099.09</v>
      </c>
      <c r="E51" s="11">
        <f t="shared" si="12"/>
        <v>0</v>
      </c>
      <c r="F51" s="11">
        <f t="shared" si="12"/>
        <v>0</v>
      </c>
      <c r="G51" s="11">
        <f t="shared" si="12"/>
        <v>0</v>
      </c>
      <c r="H51" s="11">
        <f t="shared" si="12"/>
        <v>0</v>
      </c>
      <c r="I51" s="11">
        <f t="shared" si="12"/>
        <v>0</v>
      </c>
      <c r="J51" s="11">
        <f t="shared" si="12"/>
        <v>0</v>
      </c>
      <c r="K51" s="11">
        <f t="shared" si="12"/>
        <v>0</v>
      </c>
      <c r="L51" s="11">
        <f t="shared" si="9"/>
        <v>2099.09</v>
      </c>
    </row>
    <row r="52" spans="1:12" x14ac:dyDescent="0.25">
      <c r="A52" s="3" t="s">
        <v>57</v>
      </c>
      <c r="B52" s="10">
        <f>604.44</f>
        <v>604.44000000000005</v>
      </c>
      <c r="C52" s="10">
        <f>822.21</f>
        <v>822.21</v>
      </c>
      <c r="D52" s="10">
        <f>607.96</f>
        <v>607.96</v>
      </c>
      <c r="E52" s="10">
        <f>645.07</f>
        <v>645.07000000000005</v>
      </c>
      <c r="F52" s="10">
        <f>659.63</f>
        <v>659.63</v>
      </c>
      <c r="G52" s="10">
        <f>664.52</f>
        <v>664.52</v>
      </c>
      <c r="H52" s="10">
        <f>743.24</f>
        <v>743.24</v>
      </c>
      <c r="I52" s="10">
        <f>706.36</f>
        <v>706.36</v>
      </c>
      <c r="J52" s="10">
        <f>857.97</f>
        <v>857.97</v>
      </c>
      <c r="K52" s="9"/>
      <c r="L52" s="10">
        <f t="shared" si="9"/>
        <v>6311.4000000000005</v>
      </c>
    </row>
    <row r="53" spans="1:12" x14ac:dyDescent="0.25">
      <c r="A53" s="3" t="s">
        <v>58</v>
      </c>
      <c r="B53" s="10">
        <f>1348.24</f>
        <v>1348.24</v>
      </c>
      <c r="C53" s="10">
        <f>663.69</f>
        <v>663.69</v>
      </c>
      <c r="D53" s="10">
        <f>662.68</f>
        <v>662.68</v>
      </c>
      <c r="E53" s="9"/>
      <c r="F53" s="10">
        <f>1325.36</f>
        <v>1325.36</v>
      </c>
      <c r="G53" s="10">
        <f>662.68</f>
        <v>662.68</v>
      </c>
      <c r="H53" s="10">
        <f>662.68</f>
        <v>662.68</v>
      </c>
      <c r="I53" s="10">
        <f>658.2</f>
        <v>658.2</v>
      </c>
      <c r="J53" s="10">
        <f>649.63</f>
        <v>649.63</v>
      </c>
      <c r="K53" s="10">
        <f>649.63</f>
        <v>649.63</v>
      </c>
      <c r="L53" s="10">
        <f t="shared" si="9"/>
        <v>7282.7900000000009</v>
      </c>
    </row>
    <row r="54" spans="1:12" x14ac:dyDescent="0.25">
      <c r="A54" s="3" t="s">
        <v>59</v>
      </c>
      <c r="B54" s="11">
        <f t="shared" ref="B54:K54" si="13">(B52)+(B53)</f>
        <v>1952.68</v>
      </c>
      <c r="C54" s="11">
        <f t="shared" si="13"/>
        <v>1485.9</v>
      </c>
      <c r="D54" s="11">
        <f t="shared" si="13"/>
        <v>1270.6399999999999</v>
      </c>
      <c r="E54" s="11">
        <f t="shared" si="13"/>
        <v>645.07000000000005</v>
      </c>
      <c r="F54" s="11">
        <f t="shared" si="13"/>
        <v>1984.9899999999998</v>
      </c>
      <c r="G54" s="11">
        <f t="shared" si="13"/>
        <v>1327.1999999999998</v>
      </c>
      <c r="H54" s="11">
        <f t="shared" si="13"/>
        <v>1405.92</v>
      </c>
      <c r="I54" s="11">
        <f t="shared" si="13"/>
        <v>1364.56</v>
      </c>
      <c r="J54" s="11">
        <f t="shared" si="13"/>
        <v>1507.6</v>
      </c>
      <c r="K54" s="11">
        <f t="shared" si="13"/>
        <v>649.63</v>
      </c>
      <c r="L54" s="11">
        <f t="shared" si="9"/>
        <v>13594.189999999999</v>
      </c>
    </row>
    <row r="55" spans="1:12" x14ac:dyDescent="0.25">
      <c r="A55" s="3" t="s">
        <v>60</v>
      </c>
      <c r="B55" s="9"/>
      <c r="C55" s="9"/>
      <c r="D55" s="10">
        <f>849.75</f>
        <v>849.75</v>
      </c>
      <c r="E55" s="9"/>
      <c r="F55" s="9"/>
      <c r="G55" s="9"/>
      <c r="H55" s="9"/>
      <c r="I55" s="9"/>
      <c r="J55" s="9"/>
      <c r="K55" s="9"/>
      <c r="L55" s="10">
        <f t="shared" si="9"/>
        <v>849.75</v>
      </c>
    </row>
    <row r="56" spans="1:12" x14ac:dyDescent="0.25">
      <c r="A56" s="3" t="s">
        <v>61</v>
      </c>
      <c r="B56" s="9"/>
      <c r="C56" s="10">
        <f>207</f>
        <v>207</v>
      </c>
      <c r="D56" s="9"/>
      <c r="E56" s="10">
        <f>582</f>
        <v>582</v>
      </c>
      <c r="F56" s="10">
        <f>419</f>
        <v>419</v>
      </c>
      <c r="G56" s="9"/>
      <c r="H56" s="9"/>
      <c r="I56" s="9"/>
      <c r="J56" s="9"/>
      <c r="K56" s="10">
        <f>357</f>
        <v>357</v>
      </c>
      <c r="L56" s="10">
        <f t="shared" si="9"/>
        <v>1565</v>
      </c>
    </row>
    <row r="57" spans="1:12" x14ac:dyDescent="0.25">
      <c r="A57" s="3" t="s">
        <v>62</v>
      </c>
      <c r="B57" s="11">
        <f t="shared" ref="B57:K57" si="14">(B55)+(B56)</f>
        <v>0</v>
      </c>
      <c r="C57" s="11">
        <f t="shared" si="14"/>
        <v>207</v>
      </c>
      <c r="D57" s="11">
        <f t="shared" si="14"/>
        <v>849.75</v>
      </c>
      <c r="E57" s="11">
        <f t="shared" si="14"/>
        <v>582</v>
      </c>
      <c r="F57" s="11">
        <f t="shared" si="14"/>
        <v>419</v>
      </c>
      <c r="G57" s="11">
        <f t="shared" si="14"/>
        <v>0</v>
      </c>
      <c r="H57" s="11">
        <f t="shared" si="14"/>
        <v>0</v>
      </c>
      <c r="I57" s="11">
        <f t="shared" si="14"/>
        <v>0</v>
      </c>
      <c r="J57" s="11">
        <f t="shared" si="14"/>
        <v>0</v>
      </c>
      <c r="K57" s="11">
        <f t="shared" si="14"/>
        <v>357</v>
      </c>
      <c r="L57" s="11">
        <f t="shared" si="9"/>
        <v>2414.75</v>
      </c>
    </row>
    <row r="58" spans="1:12" x14ac:dyDescent="0.25">
      <c r="A58" s="3" t="s">
        <v>63</v>
      </c>
      <c r="B58" s="11">
        <f t="shared" ref="B58:K58" si="15">((((B44)+(B48))+(B51))+(B54))+(B57)</f>
        <v>28057.57</v>
      </c>
      <c r="C58" s="11">
        <f t="shared" si="15"/>
        <v>84035.44</v>
      </c>
      <c r="D58" s="11">
        <f t="shared" si="15"/>
        <v>6329.5400000000009</v>
      </c>
      <c r="E58" s="11">
        <f t="shared" si="15"/>
        <v>36644.149999999994</v>
      </c>
      <c r="F58" s="11">
        <f t="shared" si="15"/>
        <v>4578.7299999999996</v>
      </c>
      <c r="G58" s="11">
        <f t="shared" si="15"/>
        <v>60794.529999999992</v>
      </c>
      <c r="H58" s="11">
        <f t="shared" si="15"/>
        <v>3843.63</v>
      </c>
      <c r="I58" s="11">
        <f t="shared" si="15"/>
        <v>26764.949999999997</v>
      </c>
      <c r="J58" s="11">
        <f t="shared" si="15"/>
        <v>4072.31</v>
      </c>
      <c r="K58" s="11">
        <f t="shared" si="15"/>
        <v>105817.34</v>
      </c>
      <c r="L58" s="11">
        <f t="shared" si="9"/>
        <v>360938.19000000006</v>
      </c>
    </row>
    <row r="59" spans="1:12" x14ac:dyDescent="0.25">
      <c r="A59" s="3" t="s">
        <v>64</v>
      </c>
      <c r="B59" s="11">
        <f t="shared" ref="B59:K59" si="16">(B39)-(B58)</f>
        <v>58028.88</v>
      </c>
      <c r="C59" s="11">
        <f t="shared" si="16"/>
        <v>-33431.82</v>
      </c>
      <c r="D59" s="11">
        <f t="shared" si="16"/>
        <v>49310.54</v>
      </c>
      <c r="E59" s="11">
        <f t="shared" si="16"/>
        <v>36552.510000000009</v>
      </c>
      <c r="F59" s="11">
        <f t="shared" si="16"/>
        <v>22034.670000000006</v>
      </c>
      <c r="G59" s="11">
        <f t="shared" si="16"/>
        <v>-40141.279999999992</v>
      </c>
      <c r="H59" s="11">
        <f t="shared" si="16"/>
        <v>21215.140000000003</v>
      </c>
      <c r="I59" s="11">
        <f t="shared" si="16"/>
        <v>1908.330000000009</v>
      </c>
      <c r="J59" s="11">
        <f t="shared" si="16"/>
        <v>17991.789999999997</v>
      </c>
      <c r="K59" s="11">
        <f t="shared" si="16"/>
        <v>-78116.180000000008</v>
      </c>
      <c r="L59" s="11">
        <f t="shared" si="9"/>
        <v>55352.580000000031</v>
      </c>
    </row>
    <row r="60" spans="1:12" x14ac:dyDescent="0.25">
      <c r="A60" s="3" t="s">
        <v>65</v>
      </c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</row>
    <row r="61" spans="1:12" x14ac:dyDescent="0.25">
      <c r="A61" s="3" t="s">
        <v>66</v>
      </c>
      <c r="B61" s="10">
        <f>48.24</f>
        <v>48.24</v>
      </c>
      <c r="C61" s="10">
        <f>33.24</f>
        <v>33.24</v>
      </c>
      <c r="D61" s="10">
        <f>41.95</f>
        <v>41.95</v>
      </c>
      <c r="E61" s="10">
        <f>100.75</f>
        <v>100.75</v>
      </c>
      <c r="F61" s="9"/>
      <c r="G61" s="10">
        <f>-35</f>
        <v>-35</v>
      </c>
      <c r="H61" s="9"/>
      <c r="I61" s="9"/>
      <c r="J61" s="9"/>
      <c r="K61" s="9"/>
      <c r="L61" s="10">
        <f t="shared" ref="L61:L92" si="17">(((((((((B61)+(C61))+(D61))+(E61))+(F61))+(G61))+(H61))+(I61))+(J61))+(K61)</f>
        <v>189.18</v>
      </c>
    </row>
    <row r="62" spans="1:12" x14ac:dyDescent="0.25">
      <c r="A62" s="3" t="s">
        <v>67</v>
      </c>
      <c r="B62" s="10">
        <f>17.5</f>
        <v>17.5</v>
      </c>
      <c r="C62" s="10">
        <f>25</f>
        <v>25</v>
      </c>
      <c r="D62" s="10">
        <f>17.5</f>
        <v>17.5</v>
      </c>
      <c r="E62" s="10">
        <f>1962.6</f>
        <v>1962.6</v>
      </c>
      <c r="F62" s="10">
        <f t="shared" ref="F62:H63" si="18">17.5</f>
        <v>17.5</v>
      </c>
      <c r="G62" s="10">
        <f t="shared" si="18"/>
        <v>17.5</v>
      </c>
      <c r="H62" s="10">
        <f t="shared" si="18"/>
        <v>17.5</v>
      </c>
      <c r="I62" s="10">
        <f>27.77</f>
        <v>27.77</v>
      </c>
      <c r="J62" s="10">
        <f>54.06</f>
        <v>54.06</v>
      </c>
      <c r="K62" s="10">
        <f>38.63</f>
        <v>38.630000000000003</v>
      </c>
      <c r="L62" s="10">
        <f t="shared" si="17"/>
        <v>2195.56</v>
      </c>
    </row>
    <row r="63" spans="1:12" x14ac:dyDescent="0.25">
      <c r="A63" s="3" t="s">
        <v>68</v>
      </c>
      <c r="B63" s="10">
        <f>17.5</f>
        <v>17.5</v>
      </c>
      <c r="C63" s="10">
        <f>25</f>
        <v>25</v>
      </c>
      <c r="D63" s="10">
        <f>17.5</f>
        <v>17.5</v>
      </c>
      <c r="E63" s="10">
        <f>1962.58</f>
        <v>1962.58</v>
      </c>
      <c r="F63" s="10">
        <f t="shared" si="18"/>
        <v>17.5</v>
      </c>
      <c r="G63" s="10">
        <f t="shared" si="18"/>
        <v>17.5</v>
      </c>
      <c r="H63" s="10">
        <f t="shared" si="18"/>
        <v>17.5</v>
      </c>
      <c r="I63" s="10">
        <f>27.77</f>
        <v>27.77</v>
      </c>
      <c r="J63" s="10">
        <f>47.4</f>
        <v>47.4</v>
      </c>
      <c r="K63" s="10">
        <f>38.63</f>
        <v>38.630000000000003</v>
      </c>
      <c r="L63" s="10">
        <f t="shared" si="17"/>
        <v>2188.88</v>
      </c>
    </row>
    <row r="64" spans="1:12" x14ac:dyDescent="0.25">
      <c r="A64" s="3" t="s">
        <v>69</v>
      </c>
      <c r="B64" s="11">
        <f t="shared" ref="B64:K64" si="19">((B61)+(B62))+(B63)</f>
        <v>83.240000000000009</v>
      </c>
      <c r="C64" s="11">
        <f t="shared" si="19"/>
        <v>83.240000000000009</v>
      </c>
      <c r="D64" s="11">
        <f t="shared" si="19"/>
        <v>76.95</v>
      </c>
      <c r="E64" s="11">
        <f t="shared" si="19"/>
        <v>4025.93</v>
      </c>
      <c r="F64" s="11">
        <f t="shared" si="19"/>
        <v>35</v>
      </c>
      <c r="G64" s="11">
        <f t="shared" si="19"/>
        <v>0</v>
      </c>
      <c r="H64" s="11">
        <f t="shared" si="19"/>
        <v>35</v>
      </c>
      <c r="I64" s="11">
        <f t="shared" si="19"/>
        <v>55.54</v>
      </c>
      <c r="J64" s="11">
        <f t="shared" si="19"/>
        <v>101.46000000000001</v>
      </c>
      <c r="K64" s="11">
        <f t="shared" si="19"/>
        <v>77.260000000000005</v>
      </c>
      <c r="L64" s="11">
        <f t="shared" si="17"/>
        <v>4573.62</v>
      </c>
    </row>
    <row r="65" spans="1:12" x14ac:dyDescent="0.25">
      <c r="A65" s="3" t="s">
        <v>70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10">
        <f t="shared" si="17"/>
        <v>0</v>
      </c>
    </row>
    <row r="66" spans="1:12" x14ac:dyDescent="0.25">
      <c r="A66" s="3" t="s">
        <v>71</v>
      </c>
      <c r="B66" s="10">
        <f>720</f>
        <v>720</v>
      </c>
      <c r="C66" s="9"/>
      <c r="D66" s="10">
        <f>450</f>
        <v>450</v>
      </c>
      <c r="E66" s="10">
        <f>450</f>
        <v>450</v>
      </c>
      <c r="F66" s="10">
        <f>950</f>
        <v>950</v>
      </c>
      <c r="G66" s="10">
        <f>6600</f>
        <v>6600</v>
      </c>
      <c r="H66" s="10">
        <f>4590</f>
        <v>4590</v>
      </c>
      <c r="I66" s="9"/>
      <c r="J66" s="9"/>
      <c r="K66" s="9"/>
      <c r="L66" s="10">
        <f t="shared" si="17"/>
        <v>13760</v>
      </c>
    </row>
    <row r="67" spans="1:12" x14ac:dyDescent="0.25">
      <c r="A67" s="3" t="s">
        <v>72</v>
      </c>
      <c r="B67" s="10">
        <f>480</f>
        <v>480</v>
      </c>
      <c r="C67" s="9"/>
      <c r="D67" s="10">
        <f>450</f>
        <v>450</v>
      </c>
      <c r="E67" s="10">
        <f>450</f>
        <v>450</v>
      </c>
      <c r="F67" s="10">
        <f>950</f>
        <v>950</v>
      </c>
      <c r="G67" s="10">
        <f>4400</f>
        <v>4400</v>
      </c>
      <c r="H67" s="10">
        <f>3210</f>
        <v>3210</v>
      </c>
      <c r="I67" s="9"/>
      <c r="J67" s="9"/>
      <c r="K67" s="9"/>
      <c r="L67" s="10">
        <f t="shared" si="17"/>
        <v>9940</v>
      </c>
    </row>
    <row r="68" spans="1:12" x14ac:dyDescent="0.25">
      <c r="A68" s="3" t="s">
        <v>73</v>
      </c>
      <c r="B68" s="11">
        <f t="shared" ref="B68:K68" si="20">((B65)+(B66))+(B67)</f>
        <v>1200</v>
      </c>
      <c r="C68" s="11">
        <f t="shared" si="20"/>
        <v>0</v>
      </c>
      <c r="D68" s="11">
        <f t="shared" si="20"/>
        <v>900</v>
      </c>
      <c r="E68" s="11">
        <f t="shared" si="20"/>
        <v>900</v>
      </c>
      <c r="F68" s="11">
        <f t="shared" si="20"/>
        <v>1900</v>
      </c>
      <c r="G68" s="11">
        <f t="shared" si="20"/>
        <v>11000</v>
      </c>
      <c r="H68" s="11">
        <f t="shared" si="20"/>
        <v>7800</v>
      </c>
      <c r="I68" s="11">
        <f t="shared" si="20"/>
        <v>0</v>
      </c>
      <c r="J68" s="11">
        <f t="shared" si="20"/>
        <v>0</v>
      </c>
      <c r="K68" s="11">
        <f t="shared" si="20"/>
        <v>0</v>
      </c>
      <c r="L68" s="11">
        <f t="shared" si="17"/>
        <v>23700</v>
      </c>
    </row>
    <row r="69" spans="1:12" x14ac:dyDescent="0.25">
      <c r="A69" s="3" t="s">
        <v>74</v>
      </c>
      <c r="B69" s="9"/>
      <c r="C69" s="9"/>
      <c r="D69" s="9"/>
      <c r="E69" s="9"/>
      <c r="F69" s="9"/>
      <c r="G69" s="9"/>
      <c r="H69" s="9"/>
      <c r="I69" s="9"/>
      <c r="J69" s="9"/>
      <c r="K69" s="9"/>
      <c r="L69" s="10">
        <f t="shared" si="17"/>
        <v>0</v>
      </c>
    </row>
    <row r="70" spans="1:12" x14ac:dyDescent="0.25">
      <c r="A70" s="3" t="s">
        <v>75</v>
      </c>
      <c r="B70" s="10">
        <f>1102.5</f>
        <v>1102.5</v>
      </c>
      <c r="C70" s="9"/>
      <c r="D70" s="10">
        <f>4539.75</f>
        <v>4539.75</v>
      </c>
      <c r="E70" s="10">
        <f>1609.03</f>
        <v>1609.03</v>
      </c>
      <c r="F70" s="10">
        <f>2146.63</f>
        <v>2146.63</v>
      </c>
      <c r="G70" s="10">
        <f>1642.33</f>
        <v>1642.33</v>
      </c>
      <c r="H70" s="9"/>
      <c r="I70" s="10">
        <f>3607.65</f>
        <v>3607.65</v>
      </c>
      <c r="J70" s="9"/>
      <c r="K70" s="10">
        <f>3569.29</f>
        <v>3569.29</v>
      </c>
      <c r="L70" s="10">
        <f t="shared" si="17"/>
        <v>18217.18</v>
      </c>
    </row>
    <row r="71" spans="1:12" x14ac:dyDescent="0.25">
      <c r="A71" s="3" t="s">
        <v>76</v>
      </c>
      <c r="B71" s="10">
        <f>735</f>
        <v>735</v>
      </c>
      <c r="C71" s="9"/>
      <c r="D71" s="10">
        <f>3026.51</f>
        <v>3026.51</v>
      </c>
      <c r="E71" s="10">
        <f>1072.69</f>
        <v>1072.69</v>
      </c>
      <c r="F71" s="10">
        <f>1431.09</f>
        <v>1431.09</v>
      </c>
      <c r="G71" s="10">
        <f>1094.89</f>
        <v>1094.8900000000001</v>
      </c>
      <c r="H71" s="9"/>
      <c r="I71" s="10">
        <f>2405.11</f>
        <v>2405.11</v>
      </c>
      <c r="J71" s="9"/>
      <c r="K71" s="10">
        <f>2379.52</f>
        <v>2379.52</v>
      </c>
      <c r="L71" s="10">
        <f t="shared" si="17"/>
        <v>12144.810000000001</v>
      </c>
    </row>
    <row r="72" spans="1:12" x14ac:dyDescent="0.25">
      <c r="A72" s="3" t="s">
        <v>77</v>
      </c>
      <c r="B72" s="11">
        <f t="shared" ref="B72:K72" si="21">((B69)+(B70))+(B71)</f>
        <v>1837.5</v>
      </c>
      <c r="C72" s="11">
        <f t="shared" si="21"/>
        <v>0</v>
      </c>
      <c r="D72" s="11">
        <f t="shared" si="21"/>
        <v>7566.26</v>
      </c>
      <c r="E72" s="11">
        <f t="shared" si="21"/>
        <v>2681.7200000000003</v>
      </c>
      <c r="F72" s="11">
        <f t="shared" si="21"/>
        <v>3577.7200000000003</v>
      </c>
      <c r="G72" s="11">
        <f t="shared" si="21"/>
        <v>2737.2200000000003</v>
      </c>
      <c r="H72" s="11">
        <f t="shared" si="21"/>
        <v>0</v>
      </c>
      <c r="I72" s="11">
        <f t="shared" si="21"/>
        <v>6012.76</v>
      </c>
      <c r="J72" s="11">
        <f t="shared" si="21"/>
        <v>0</v>
      </c>
      <c r="K72" s="11">
        <f t="shared" si="21"/>
        <v>5948.8099999999995</v>
      </c>
      <c r="L72" s="11">
        <f t="shared" si="17"/>
        <v>30361.989999999998</v>
      </c>
    </row>
    <row r="73" spans="1:12" x14ac:dyDescent="0.25">
      <c r="A73" s="3" t="s">
        <v>78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10">
        <f t="shared" si="17"/>
        <v>0</v>
      </c>
    </row>
    <row r="74" spans="1:12" x14ac:dyDescent="0.25">
      <c r="A74" s="3" t="s">
        <v>79</v>
      </c>
      <c r="B74" s="9"/>
      <c r="C74" s="9"/>
      <c r="D74" s="9"/>
      <c r="E74" s="10">
        <f>6956.63</f>
        <v>6956.63</v>
      </c>
      <c r="F74" s="10">
        <f>10385.75</f>
        <v>10385.75</v>
      </c>
      <c r="G74" s="10">
        <f>7482.4</f>
        <v>7482.4</v>
      </c>
      <c r="H74" s="10">
        <f>13367.5</f>
        <v>13367.5</v>
      </c>
      <c r="I74" s="10">
        <f>14790.6</f>
        <v>14790.6</v>
      </c>
      <c r="J74" s="10">
        <f>6513.23</f>
        <v>6513.23</v>
      </c>
      <c r="K74" s="10">
        <f>5010</f>
        <v>5010</v>
      </c>
      <c r="L74" s="10">
        <f t="shared" si="17"/>
        <v>64506.11</v>
      </c>
    </row>
    <row r="75" spans="1:12" x14ac:dyDescent="0.25">
      <c r="A75" s="3" t="s">
        <v>80</v>
      </c>
      <c r="B75" s="9"/>
      <c r="C75" s="9"/>
      <c r="D75" s="9"/>
      <c r="E75" s="10">
        <f>6875.58</f>
        <v>6875.58</v>
      </c>
      <c r="F75" s="10">
        <f>10385.75</f>
        <v>10385.75</v>
      </c>
      <c r="G75" s="10">
        <f>7482.39</f>
        <v>7482.39</v>
      </c>
      <c r="H75" s="10">
        <f>13367.5</f>
        <v>13367.5</v>
      </c>
      <c r="I75" s="10">
        <f>9860.4</f>
        <v>9860.4</v>
      </c>
      <c r="J75" s="10">
        <f>4342.16</f>
        <v>4342.16</v>
      </c>
      <c r="K75" s="10">
        <f>3340</f>
        <v>3340</v>
      </c>
      <c r="L75" s="10">
        <f t="shared" si="17"/>
        <v>55653.78</v>
      </c>
    </row>
    <row r="76" spans="1:12" x14ac:dyDescent="0.25">
      <c r="A76" s="3" t="s">
        <v>81</v>
      </c>
      <c r="B76" s="11">
        <f t="shared" ref="B76:K76" si="22">((B73)+(B74))+(B75)</f>
        <v>0</v>
      </c>
      <c r="C76" s="11">
        <f t="shared" si="22"/>
        <v>0</v>
      </c>
      <c r="D76" s="11">
        <f t="shared" si="22"/>
        <v>0</v>
      </c>
      <c r="E76" s="11">
        <f t="shared" si="22"/>
        <v>13832.21</v>
      </c>
      <c r="F76" s="11">
        <f t="shared" si="22"/>
        <v>20771.5</v>
      </c>
      <c r="G76" s="11">
        <f t="shared" si="22"/>
        <v>14964.79</v>
      </c>
      <c r="H76" s="11">
        <f t="shared" si="22"/>
        <v>26735</v>
      </c>
      <c r="I76" s="11">
        <f t="shared" si="22"/>
        <v>24651</v>
      </c>
      <c r="J76" s="11">
        <f t="shared" si="22"/>
        <v>10855.39</v>
      </c>
      <c r="K76" s="11">
        <f t="shared" si="22"/>
        <v>8350</v>
      </c>
      <c r="L76" s="11">
        <f t="shared" si="17"/>
        <v>120159.89</v>
      </c>
    </row>
    <row r="77" spans="1:12" x14ac:dyDescent="0.25">
      <c r="A77" s="3" t="s">
        <v>82</v>
      </c>
      <c r="B77" s="9"/>
      <c r="C77" s="9"/>
      <c r="D77" s="9"/>
      <c r="E77" s="9"/>
      <c r="F77" s="9"/>
      <c r="G77" s="9"/>
      <c r="H77" s="9"/>
      <c r="I77" s="9"/>
      <c r="J77" s="9"/>
      <c r="K77" s="9"/>
      <c r="L77" s="10">
        <f t="shared" si="17"/>
        <v>0</v>
      </c>
    </row>
    <row r="78" spans="1:12" x14ac:dyDescent="0.25">
      <c r="A78" s="3" t="s">
        <v>83</v>
      </c>
      <c r="B78" s="10">
        <f>662.5</f>
        <v>662.5</v>
      </c>
      <c r="C78" s="9"/>
      <c r="D78" s="10">
        <f>29.32</f>
        <v>29.32</v>
      </c>
      <c r="E78" s="10">
        <f>29.32</f>
        <v>29.32</v>
      </c>
      <c r="F78" s="10">
        <f>29.32</f>
        <v>29.32</v>
      </c>
      <c r="G78" s="10">
        <f>29.32</f>
        <v>29.32</v>
      </c>
      <c r="H78" s="10">
        <f>29.32</f>
        <v>29.32</v>
      </c>
      <c r="I78" s="10">
        <f>433.82</f>
        <v>433.82</v>
      </c>
      <c r="J78" s="10">
        <f>34.65</f>
        <v>34.65</v>
      </c>
      <c r="K78" s="10">
        <f>34.65</f>
        <v>34.65</v>
      </c>
      <c r="L78" s="10">
        <f t="shared" si="17"/>
        <v>1312.2200000000005</v>
      </c>
    </row>
    <row r="79" spans="1:12" x14ac:dyDescent="0.25">
      <c r="A79" s="3" t="s">
        <v>84</v>
      </c>
      <c r="B79" s="10">
        <f>662.5</f>
        <v>662.5</v>
      </c>
      <c r="C79" s="9"/>
      <c r="D79" s="10">
        <f>29.31</f>
        <v>29.31</v>
      </c>
      <c r="E79" s="10">
        <f>29.31</f>
        <v>29.31</v>
      </c>
      <c r="F79" s="10">
        <f>29.31</f>
        <v>29.31</v>
      </c>
      <c r="G79" s="10">
        <f>29.31</f>
        <v>29.31</v>
      </c>
      <c r="H79" s="10">
        <f>29.31</f>
        <v>29.31</v>
      </c>
      <c r="I79" s="10">
        <f>433.81</f>
        <v>433.81</v>
      </c>
      <c r="J79" s="10">
        <f>34.64</f>
        <v>34.64</v>
      </c>
      <c r="K79" s="10">
        <f>34.64</f>
        <v>34.64</v>
      </c>
      <c r="L79" s="10">
        <f t="shared" si="17"/>
        <v>1312.1399999999999</v>
      </c>
    </row>
    <row r="80" spans="1:12" x14ac:dyDescent="0.25">
      <c r="A80" s="3" t="s">
        <v>85</v>
      </c>
      <c r="B80" s="11">
        <f t="shared" ref="B80:K80" si="23">((B77)+(B78))+(B79)</f>
        <v>1325</v>
      </c>
      <c r="C80" s="11">
        <f t="shared" si="23"/>
        <v>0</v>
      </c>
      <c r="D80" s="11">
        <f t="shared" si="23"/>
        <v>58.629999999999995</v>
      </c>
      <c r="E80" s="11">
        <f t="shared" si="23"/>
        <v>58.629999999999995</v>
      </c>
      <c r="F80" s="11">
        <f t="shared" si="23"/>
        <v>58.629999999999995</v>
      </c>
      <c r="G80" s="11">
        <f t="shared" si="23"/>
        <v>58.629999999999995</v>
      </c>
      <c r="H80" s="11">
        <f t="shared" si="23"/>
        <v>58.629999999999995</v>
      </c>
      <c r="I80" s="11">
        <f t="shared" si="23"/>
        <v>867.63</v>
      </c>
      <c r="J80" s="11">
        <f t="shared" si="23"/>
        <v>69.289999999999992</v>
      </c>
      <c r="K80" s="11">
        <f t="shared" si="23"/>
        <v>69.289999999999992</v>
      </c>
      <c r="L80" s="11">
        <f t="shared" si="17"/>
        <v>2624.3600000000006</v>
      </c>
    </row>
    <row r="81" spans="1:12" x14ac:dyDescent="0.25">
      <c r="A81" s="3" t="s">
        <v>86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10">
        <f t="shared" si="17"/>
        <v>0</v>
      </c>
    </row>
    <row r="82" spans="1:12" x14ac:dyDescent="0.25">
      <c r="A82" s="3" t="s">
        <v>87</v>
      </c>
      <c r="B82" s="9"/>
      <c r="C82" s="9"/>
      <c r="D82" s="9"/>
      <c r="E82" s="9"/>
      <c r="F82" s="9"/>
      <c r="G82" s="9"/>
      <c r="H82" s="9"/>
      <c r="I82" s="9"/>
      <c r="J82" s="9"/>
      <c r="K82" s="10">
        <f>1250</f>
        <v>1250</v>
      </c>
      <c r="L82" s="10">
        <f t="shared" si="17"/>
        <v>1250</v>
      </c>
    </row>
    <row r="83" spans="1:12" x14ac:dyDescent="0.25">
      <c r="A83" s="3" t="s">
        <v>88</v>
      </c>
      <c r="B83" s="11">
        <f t="shared" ref="B83:K83" si="24">(B81)+(B82)</f>
        <v>0</v>
      </c>
      <c r="C83" s="11">
        <f t="shared" si="24"/>
        <v>0</v>
      </c>
      <c r="D83" s="11">
        <f t="shared" si="24"/>
        <v>0</v>
      </c>
      <c r="E83" s="11">
        <f t="shared" si="24"/>
        <v>0</v>
      </c>
      <c r="F83" s="11">
        <f t="shared" si="24"/>
        <v>0</v>
      </c>
      <c r="G83" s="11">
        <f t="shared" si="24"/>
        <v>0</v>
      </c>
      <c r="H83" s="11">
        <f t="shared" si="24"/>
        <v>0</v>
      </c>
      <c r="I83" s="11">
        <f t="shared" si="24"/>
        <v>0</v>
      </c>
      <c r="J83" s="11">
        <f t="shared" si="24"/>
        <v>0</v>
      </c>
      <c r="K83" s="11">
        <f t="shared" si="24"/>
        <v>1250</v>
      </c>
      <c r="L83" s="11">
        <f t="shared" si="17"/>
        <v>1250</v>
      </c>
    </row>
    <row r="84" spans="1:12" x14ac:dyDescent="0.25">
      <c r="A84" s="3" t="s">
        <v>89</v>
      </c>
      <c r="B84" s="9"/>
      <c r="C84" s="9"/>
      <c r="D84" s="9"/>
      <c r="E84" s="9"/>
      <c r="F84" s="9"/>
      <c r="G84" s="9"/>
      <c r="H84" s="9"/>
      <c r="I84" s="9"/>
      <c r="J84" s="9"/>
      <c r="K84" s="9"/>
      <c r="L84" s="10">
        <f t="shared" si="17"/>
        <v>0</v>
      </c>
    </row>
    <row r="85" spans="1:12" x14ac:dyDescent="0.25">
      <c r="A85" s="3" t="s">
        <v>90</v>
      </c>
      <c r="B85" s="10">
        <f>600</f>
        <v>600</v>
      </c>
      <c r="C85" s="9"/>
      <c r="D85" s="9"/>
      <c r="E85" s="9"/>
      <c r="F85" s="9"/>
      <c r="G85" s="9"/>
      <c r="H85" s="9"/>
      <c r="I85" s="9"/>
      <c r="J85" s="9"/>
      <c r="K85" s="9"/>
      <c r="L85" s="10">
        <f t="shared" si="17"/>
        <v>600</v>
      </c>
    </row>
    <row r="86" spans="1:12" x14ac:dyDescent="0.25">
      <c r="A86" s="3" t="s">
        <v>91</v>
      </c>
      <c r="B86" s="10">
        <f>700</f>
        <v>700</v>
      </c>
      <c r="C86" s="9"/>
      <c r="D86" s="9"/>
      <c r="E86" s="9"/>
      <c r="F86" s="9"/>
      <c r="G86" s="9"/>
      <c r="H86" s="9"/>
      <c r="I86" s="9"/>
      <c r="J86" s="9"/>
      <c r="K86" s="9"/>
      <c r="L86" s="10">
        <f t="shared" si="17"/>
        <v>700</v>
      </c>
    </row>
    <row r="87" spans="1:12" x14ac:dyDescent="0.25">
      <c r="A87" s="3" t="s">
        <v>92</v>
      </c>
      <c r="B87" s="11">
        <f t="shared" ref="B87:K87" si="25">((B84)+(B85))+(B86)</f>
        <v>1300</v>
      </c>
      <c r="C87" s="11">
        <f t="shared" si="25"/>
        <v>0</v>
      </c>
      <c r="D87" s="11">
        <f t="shared" si="25"/>
        <v>0</v>
      </c>
      <c r="E87" s="11">
        <f t="shared" si="25"/>
        <v>0</v>
      </c>
      <c r="F87" s="11">
        <f t="shared" si="25"/>
        <v>0</v>
      </c>
      <c r="G87" s="11">
        <f t="shared" si="25"/>
        <v>0</v>
      </c>
      <c r="H87" s="11">
        <f t="shared" si="25"/>
        <v>0</v>
      </c>
      <c r="I87" s="11">
        <f t="shared" si="25"/>
        <v>0</v>
      </c>
      <c r="J87" s="11">
        <f t="shared" si="25"/>
        <v>0</v>
      </c>
      <c r="K87" s="11">
        <f t="shared" si="25"/>
        <v>0</v>
      </c>
      <c r="L87" s="11">
        <f t="shared" si="17"/>
        <v>1300</v>
      </c>
    </row>
    <row r="88" spans="1:12" x14ac:dyDescent="0.25">
      <c r="A88" s="3" t="s">
        <v>93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10">
        <f t="shared" si="17"/>
        <v>0</v>
      </c>
    </row>
    <row r="89" spans="1:12" x14ac:dyDescent="0.25">
      <c r="A89" s="3" t="s">
        <v>94</v>
      </c>
      <c r="B89" s="10">
        <f>955.91</f>
        <v>955.91</v>
      </c>
      <c r="C89" s="10">
        <f>199.32</f>
        <v>199.32</v>
      </c>
      <c r="D89" s="10">
        <f>199.32</f>
        <v>199.32</v>
      </c>
      <c r="E89" s="10">
        <f>203.63</f>
        <v>203.63</v>
      </c>
      <c r="F89" s="10">
        <f>203.63</f>
        <v>203.63</v>
      </c>
      <c r="G89" s="10">
        <f>215.33</f>
        <v>215.33</v>
      </c>
      <c r="H89" s="10">
        <f>215.62</f>
        <v>215.62</v>
      </c>
      <c r="I89" s="10">
        <f>215.48</f>
        <v>215.48</v>
      </c>
      <c r="J89" s="10">
        <f>252.06</f>
        <v>252.06</v>
      </c>
      <c r="K89" s="10">
        <f>178.09</f>
        <v>178.09</v>
      </c>
      <c r="L89" s="10">
        <f t="shared" si="17"/>
        <v>2838.39</v>
      </c>
    </row>
    <row r="90" spans="1:12" x14ac:dyDescent="0.25">
      <c r="A90" s="3" t="s">
        <v>95</v>
      </c>
      <c r="B90" s="10">
        <f>943.75</f>
        <v>943.75</v>
      </c>
      <c r="C90" s="10">
        <f>199.29</f>
        <v>199.29</v>
      </c>
      <c r="D90" s="10">
        <f>199.29</f>
        <v>199.29</v>
      </c>
      <c r="E90" s="10">
        <f>203.63</f>
        <v>203.63</v>
      </c>
      <c r="F90" s="10">
        <f>203.63</f>
        <v>203.63</v>
      </c>
      <c r="G90" s="10">
        <f>191.93</f>
        <v>191.93</v>
      </c>
      <c r="H90" s="10">
        <f>193.36</f>
        <v>193.36</v>
      </c>
      <c r="I90" s="10">
        <f>193.19</f>
        <v>193.19</v>
      </c>
      <c r="J90" s="10">
        <f>187.76</f>
        <v>187.76</v>
      </c>
      <c r="K90" s="10">
        <f>138.45</f>
        <v>138.44999999999999</v>
      </c>
      <c r="L90" s="10">
        <f t="shared" si="17"/>
        <v>2654.2799999999997</v>
      </c>
    </row>
    <row r="91" spans="1:12" x14ac:dyDescent="0.25">
      <c r="A91" s="3" t="s">
        <v>96</v>
      </c>
      <c r="B91" s="11">
        <f t="shared" ref="B91:K91" si="26">((B88)+(B89))+(B90)</f>
        <v>1899.6599999999999</v>
      </c>
      <c r="C91" s="11">
        <f t="shared" si="26"/>
        <v>398.61</v>
      </c>
      <c r="D91" s="11">
        <f t="shared" si="26"/>
        <v>398.61</v>
      </c>
      <c r="E91" s="11">
        <f t="shared" si="26"/>
        <v>407.26</v>
      </c>
      <c r="F91" s="11">
        <f t="shared" si="26"/>
        <v>407.26</v>
      </c>
      <c r="G91" s="11">
        <f t="shared" si="26"/>
        <v>407.26</v>
      </c>
      <c r="H91" s="11">
        <f t="shared" si="26"/>
        <v>408.98</v>
      </c>
      <c r="I91" s="11">
        <f t="shared" si="26"/>
        <v>408.66999999999996</v>
      </c>
      <c r="J91" s="11">
        <f t="shared" si="26"/>
        <v>439.82</v>
      </c>
      <c r="K91" s="11">
        <f t="shared" si="26"/>
        <v>316.53999999999996</v>
      </c>
      <c r="L91" s="11">
        <f t="shared" si="17"/>
        <v>5492.670000000001</v>
      </c>
    </row>
    <row r="92" spans="1:12" x14ac:dyDescent="0.25">
      <c r="A92" s="3" t="s">
        <v>97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10">
        <f t="shared" si="17"/>
        <v>0</v>
      </c>
    </row>
    <row r="93" spans="1:12" x14ac:dyDescent="0.25">
      <c r="A93" s="3" t="s">
        <v>98</v>
      </c>
      <c r="B93" s="10">
        <f>79.2</f>
        <v>79.2</v>
      </c>
      <c r="C93" s="9"/>
      <c r="D93" s="9"/>
      <c r="E93" s="9"/>
      <c r="F93" s="9"/>
      <c r="G93" s="9"/>
      <c r="H93" s="9"/>
      <c r="I93" s="9"/>
      <c r="J93" s="9"/>
      <c r="K93" s="9"/>
      <c r="L93" s="10">
        <f t="shared" ref="L93:L124" si="27">(((((((((B93)+(C93))+(D93))+(E93))+(F93))+(G93))+(H93))+(I93))+(J93))+(K93)</f>
        <v>79.2</v>
      </c>
    </row>
    <row r="94" spans="1:12" x14ac:dyDescent="0.25">
      <c r="A94" s="3" t="s">
        <v>99</v>
      </c>
      <c r="B94" s="10">
        <f>52.8</f>
        <v>52.8</v>
      </c>
      <c r="C94" s="9"/>
      <c r="D94" s="9"/>
      <c r="E94" s="9"/>
      <c r="F94" s="9"/>
      <c r="G94" s="9"/>
      <c r="H94" s="9"/>
      <c r="I94" s="9"/>
      <c r="J94" s="9"/>
      <c r="K94" s="9"/>
      <c r="L94" s="10">
        <f t="shared" si="27"/>
        <v>52.8</v>
      </c>
    </row>
    <row r="95" spans="1:12" x14ac:dyDescent="0.25">
      <c r="A95" s="3" t="s">
        <v>100</v>
      </c>
      <c r="B95" s="11">
        <f t="shared" ref="B95:K95" si="28">((B92)+(B93))+(B94)</f>
        <v>132</v>
      </c>
      <c r="C95" s="11">
        <f t="shared" si="28"/>
        <v>0</v>
      </c>
      <c r="D95" s="11">
        <f t="shared" si="28"/>
        <v>0</v>
      </c>
      <c r="E95" s="11">
        <f t="shared" si="28"/>
        <v>0</v>
      </c>
      <c r="F95" s="11">
        <f t="shared" si="28"/>
        <v>0</v>
      </c>
      <c r="G95" s="11">
        <f t="shared" si="28"/>
        <v>0</v>
      </c>
      <c r="H95" s="11">
        <f t="shared" si="28"/>
        <v>0</v>
      </c>
      <c r="I95" s="11">
        <f t="shared" si="28"/>
        <v>0</v>
      </c>
      <c r="J95" s="11">
        <f t="shared" si="28"/>
        <v>0</v>
      </c>
      <c r="K95" s="11">
        <f t="shared" si="28"/>
        <v>0</v>
      </c>
      <c r="L95" s="11">
        <f t="shared" si="27"/>
        <v>132</v>
      </c>
    </row>
    <row r="96" spans="1:12" x14ac:dyDescent="0.25">
      <c r="A96" s="3" t="s">
        <v>101</v>
      </c>
      <c r="B96" s="9"/>
      <c r="C96" s="9"/>
      <c r="D96" s="9"/>
      <c r="E96" s="9"/>
      <c r="F96" s="9"/>
      <c r="G96" s="9"/>
      <c r="H96" s="9"/>
      <c r="I96" s="9"/>
      <c r="J96" s="9"/>
      <c r="K96" s="9"/>
      <c r="L96" s="10">
        <f t="shared" si="27"/>
        <v>0</v>
      </c>
    </row>
    <row r="97" spans="1:12" x14ac:dyDescent="0.25">
      <c r="A97" s="3" t="s">
        <v>102</v>
      </c>
      <c r="B97" s="10">
        <f>8612.41</f>
        <v>8612.41</v>
      </c>
      <c r="C97" s="9"/>
      <c r="D97" s="10">
        <f>3875</f>
        <v>3875</v>
      </c>
      <c r="E97" s="9"/>
      <c r="F97" s="9"/>
      <c r="G97" s="9"/>
      <c r="H97" s="9"/>
      <c r="I97" s="9"/>
      <c r="J97" s="10">
        <f>811.88</f>
        <v>811.88</v>
      </c>
      <c r="K97" s="10">
        <f>541.25</f>
        <v>541.25</v>
      </c>
      <c r="L97" s="10">
        <f t="shared" si="27"/>
        <v>13840.539999999999</v>
      </c>
    </row>
    <row r="98" spans="1:12" x14ac:dyDescent="0.25">
      <c r="A98" s="3" t="s">
        <v>103</v>
      </c>
      <c r="B98" s="10">
        <f>10631.89</f>
        <v>10631.89</v>
      </c>
      <c r="C98" s="9"/>
      <c r="D98" s="9"/>
      <c r="E98" s="9"/>
      <c r="F98" s="9"/>
      <c r="G98" s="9"/>
      <c r="H98" s="10">
        <f>580</f>
        <v>580</v>
      </c>
      <c r="I98" s="9"/>
      <c r="J98" s="9"/>
      <c r="K98" s="9"/>
      <c r="L98" s="10">
        <f t="shared" si="27"/>
        <v>11211.89</v>
      </c>
    </row>
    <row r="99" spans="1:12" x14ac:dyDescent="0.25">
      <c r="A99" s="3" t="s">
        <v>104</v>
      </c>
      <c r="B99" s="11">
        <f t="shared" ref="B99:K99" si="29">((B96)+(B97))+(B98)</f>
        <v>19244.3</v>
      </c>
      <c r="C99" s="11">
        <f t="shared" si="29"/>
        <v>0</v>
      </c>
      <c r="D99" s="11">
        <f t="shared" si="29"/>
        <v>3875</v>
      </c>
      <c r="E99" s="11">
        <f t="shared" si="29"/>
        <v>0</v>
      </c>
      <c r="F99" s="11">
        <f t="shared" si="29"/>
        <v>0</v>
      </c>
      <c r="G99" s="11">
        <f t="shared" si="29"/>
        <v>0</v>
      </c>
      <c r="H99" s="11">
        <f t="shared" si="29"/>
        <v>580</v>
      </c>
      <c r="I99" s="11">
        <f t="shared" si="29"/>
        <v>0</v>
      </c>
      <c r="J99" s="11">
        <f t="shared" si="29"/>
        <v>811.88</v>
      </c>
      <c r="K99" s="11">
        <f t="shared" si="29"/>
        <v>541.25</v>
      </c>
      <c r="L99" s="11">
        <f t="shared" si="27"/>
        <v>25052.43</v>
      </c>
    </row>
    <row r="100" spans="1:12" x14ac:dyDescent="0.25">
      <c r="A100" s="3" t="s">
        <v>105</v>
      </c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10">
        <f t="shared" si="27"/>
        <v>0</v>
      </c>
    </row>
    <row r="101" spans="1:12" x14ac:dyDescent="0.25">
      <c r="A101" s="3" t="s">
        <v>106</v>
      </c>
      <c r="B101" s="10">
        <f>12632.59</f>
        <v>12632.59</v>
      </c>
      <c r="C101" s="9"/>
      <c r="D101" s="9"/>
      <c r="E101" s="9"/>
      <c r="F101" s="9"/>
      <c r="G101" s="9"/>
      <c r="H101" s="9"/>
      <c r="I101" s="9"/>
      <c r="J101" s="9"/>
      <c r="K101" s="9"/>
      <c r="L101" s="10">
        <f t="shared" si="27"/>
        <v>12632.59</v>
      </c>
    </row>
    <row r="102" spans="1:12" x14ac:dyDescent="0.25">
      <c r="A102" s="3" t="s">
        <v>107</v>
      </c>
      <c r="B102" s="10">
        <f>4751</f>
        <v>4751</v>
      </c>
      <c r="C102" s="9"/>
      <c r="D102" s="9"/>
      <c r="E102" s="9"/>
      <c r="F102" s="9"/>
      <c r="G102" s="9"/>
      <c r="H102" s="9"/>
      <c r="I102" s="9"/>
      <c r="J102" s="9"/>
      <c r="K102" s="9"/>
      <c r="L102" s="10">
        <f t="shared" si="27"/>
        <v>4751</v>
      </c>
    </row>
    <row r="103" spans="1:12" x14ac:dyDescent="0.25">
      <c r="A103" s="3" t="s">
        <v>108</v>
      </c>
      <c r="B103" s="11">
        <f t="shared" ref="B103:K103" si="30">((B100)+(B101))+(B102)</f>
        <v>17383.59</v>
      </c>
      <c r="C103" s="11">
        <f t="shared" si="30"/>
        <v>0</v>
      </c>
      <c r="D103" s="11">
        <f t="shared" si="30"/>
        <v>0</v>
      </c>
      <c r="E103" s="11">
        <f t="shared" si="30"/>
        <v>0</v>
      </c>
      <c r="F103" s="11">
        <f t="shared" si="30"/>
        <v>0</v>
      </c>
      <c r="G103" s="11">
        <f t="shared" si="30"/>
        <v>0</v>
      </c>
      <c r="H103" s="11">
        <f t="shared" si="30"/>
        <v>0</v>
      </c>
      <c r="I103" s="11">
        <f t="shared" si="30"/>
        <v>0</v>
      </c>
      <c r="J103" s="11">
        <f t="shared" si="30"/>
        <v>0</v>
      </c>
      <c r="K103" s="11">
        <f t="shared" si="30"/>
        <v>0</v>
      </c>
      <c r="L103" s="11">
        <f t="shared" si="27"/>
        <v>17383.59</v>
      </c>
    </row>
    <row r="104" spans="1:12" x14ac:dyDescent="0.25">
      <c r="A104" s="3" t="s">
        <v>109</v>
      </c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10">
        <f t="shared" si="27"/>
        <v>0</v>
      </c>
    </row>
    <row r="105" spans="1:12" x14ac:dyDescent="0.25">
      <c r="A105" s="3" t="s">
        <v>110</v>
      </c>
      <c r="B105" s="9"/>
      <c r="C105" s="9"/>
      <c r="D105" s="9"/>
      <c r="E105" s="9"/>
      <c r="F105" s="9"/>
      <c r="G105" s="10">
        <f>126.55</f>
        <v>126.55</v>
      </c>
      <c r="H105" s="9"/>
      <c r="I105" s="10">
        <f>46.98</f>
        <v>46.98</v>
      </c>
      <c r="J105" s="9"/>
      <c r="K105" s="9"/>
      <c r="L105" s="10">
        <f t="shared" si="27"/>
        <v>173.53</v>
      </c>
    </row>
    <row r="106" spans="1:12" x14ac:dyDescent="0.25">
      <c r="A106" s="3" t="s">
        <v>111</v>
      </c>
      <c r="B106" s="9"/>
      <c r="C106" s="9"/>
      <c r="D106" s="9"/>
      <c r="E106" s="9"/>
      <c r="F106" s="9"/>
      <c r="G106" s="10">
        <f>84.37</f>
        <v>84.37</v>
      </c>
      <c r="H106" s="9"/>
      <c r="I106" s="10">
        <f>31.32</f>
        <v>31.32</v>
      </c>
      <c r="J106" s="9"/>
      <c r="K106" s="9"/>
      <c r="L106" s="10">
        <f t="shared" si="27"/>
        <v>115.69</v>
      </c>
    </row>
    <row r="107" spans="1:12" x14ac:dyDescent="0.25">
      <c r="A107" s="3" t="s">
        <v>112</v>
      </c>
      <c r="B107" s="11">
        <f t="shared" ref="B107:K107" si="31">((B104)+(B105))+(B106)</f>
        <v>0</v>
      </c>
      <c r="C107" s="11">
        <f t="shared" si="31"/>
        <v>0</v>
      </c>
      <c r="D107" s="11">
        <f t="shared" si="31"/>
        <v>0</v>
      </c>
      <c r="E107" s="11">
        <f t="shared" si="31"/>
        <v>0</v>
      </c>
      <c r="F107" s="11">
        <f t="shared" si="31"/>
        <v>0</v>
      </c>
      <c r="G107" s="11">
        <f t="shared" si="31"/>
        <v>210.92000000000002</v>
      </c>
      <c r="H107" s="11">
        <f t="shared" si="31"/>
        <v>0</v>
      </c>
      <c r="I107" s="11">
        <f t="shared" si="31"/>
        <v>78.3</v>
      </c>
      <c r="J107" s="11">
        <f t="shared" si="31"/>
        <v>0</v>
      </c>
      <c r="K107" s="11">
        <f t="shared" si="31"/>
        <v>0</v>
      </c>
      <c r="L107" s="11">
        <f t="shared" si="27"/>
        <v>289.22000000000003</v>
      </c>
    </row>
    <row r="108" spans="1:12" x14ac:dyDescent="0.25">
      <c r="A108" s="3" t="s">
        <v>113</v>
      </c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10">
        <f t="shared" si="27"/>
        <v>0</v>
      </c>
    </row>
    <row r="109" spans="1:12" x14ac:dyDescent="0.25">
      <c r="A109" s="3" t="s">
        <v>114</v>
      </c>
      <c r="B109" s="10">
        <f>1245.25</f>
        <v>1245.25</v>
      </c>
      <c r="C109" s="10">
        <f>1245.55</f>
        <v>1245.55</v>
      </c>
      <c r="D109" s="10">
        <f>1245.16</f>
        <v>1245.1600000000001</v>
      </c>
      <c r="E109" s="10">
        <f>1245.86</f>
        <v>1245.8599999999999</v>
      </c>
      <c r="F109" s="10">
        <f>3552.5</f>
        <v>3552.5</v>
      </c>
      <c r="G109" s="10">
        <f>3488.45</f>
        <v>3488.45</v>
      </c>
      <c r="H109" s="10">
        <f>1750.43</f>
        <v>1750.43</v>
      </c>
      <c r="I109" s="10">
        <f>3573.34</f>
        <v>3573.34</v>
      </c>
      <c r="J109" s="9"/>
      <c r="K109" s="10">
        <f>1719.95</f>
        <v>1719.95</v>
      </c>
      <c r="L109" s="10">
        <f t="shared" si="27"/>
        <v>19066.490000000002</v>
      </c>
    </row>
    <row r="110" spans="1:12" x14ac:dyDescent="0.25">
      <c r="A110" s="3" t="s">
        <v>115</v>
      </c>
      <c r="B110" s="10">
        <f>639.31</f>
        <v>639.30999999999995</v>
      </c>
      <c r="C110" s="10">
        <f>639.31</f>
        <v>639.30999999999995</v>
      </c>
      <c r="D110" s="10">
        <f>639.31</f>
        <v>639.30999999999995</v>
      </c>
      <c r="E110" s="10">
        <f>639.31</f>
        <v>639.30999999999995</v>
      </c>
      <c r="F110" s="10">
        <f>208.59</f>
        <v>208.59</v>
      </c>
      <c r="G110" s="10">
        <f>204.81</f>
        <v>204.81</v>
      </c>
      <c r="H110" s="10">
        <f>102.79</f>
        <v>102.79</v>
      </c>
      <c r="I110" s="10">
        <f>209.7</f>
        <v>209.7</v>
      </c>
      <c r="J110" s="9"/>
      <c r="K110" s="10">
        <f>100.9</f>
        <v>100.9</v>
      </c>
      <c r="L110" s="10">
        <f t="shared" si="27"/>
        <v>3384.0299999999997</v>
      </c>
    </row>
    <row r="111" spans="1:12" x14ac:dyDescent="0.25">
      <c r="A111" s="3" t="s">
        <v>116</v>
      </c>
      <c r="B111" s="11">
        <f t="shared" ref="B111:K111" si="32">((B108)+(B109))+(B110)</f>
        <v>1884.56</v>
      </c>
      <c r="C111" s="11">
        <f t="shared" si="32"/>
        <v>1884.86</v>
      </c>
      <c r="D111" s="11">
        <f t="shared" si="32"/>
        <v>1884.47</v>
      </c>
      <c r="E111" s="11">
        <f t="shared" si="32"/>
        <v>1885.1699999999998</v>
      </c>
      <c r="F111" s="11">
        <f t="shared" si="32"/>
        <v>3761.09</v>
      </c>
      <c r="G111" s="11">
        <f t="shared" si="32"/>
        <v>3693.2599999999998</v>
      </c>
      <c r="H111" s="11">
        <f t="shared" si="32"/>
        <v>1853.22</v>
      </c>
      <c r="I111" s="11">
        <f t="shared" si="32"/>
        <v>3783.04</v>
      </c>
      <c r="J111" s="11">
        <f t="shared" si="32"/>
        <v>0</v>
      </c>
      <c r="K111" s="11">
        <f t="shared" si="32"/>
        <v>1820.8500000000001</v>
      </c>
      <c r="L111" s="11">
        <f t="shared" si="27"/>
        <v>22450.52</v>
      </c>
    </row>
    <row r="112" spans="1:12" x14ac:dyDescent="0.25">
      <c r="A112" s="3" t="s">
        <v>117</v>
      </c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10">
        <f t="shared" si="27"/>
        <v>0</v>
      </c>
    </row>
    <row r="113" spans="1:12" x14ac:dyDescent="0.25">
      <c r="A113" s="3" t="s">
        <v>118</v>
      </c>
      <c r="B113" s="9"/>
      <c r="C113" s="9"/>
      <c r="D113" s="9"/>
      <c r="E113" s="10">
        <f>75</f>
        <v>75</v>
      </c>
      <c r="F113" s="9"/>
      <c r="G113" s="10">
        <f>600</f>
        <v>600</v>
      </c>
      <c r="H113" s="9"/>
      <c r="I113" s="9"/>
      <c r="J113" s="9"/>
      <c r="K113" s="9"/>
      <c r="L113" s="10">
        <f t="shared" si="27"/>
        <v>675</v>
      </c>
    </row>
    <row r="114" spans="1:12" x14ac:dyDescent="0.25">
      <c r="A114" s="3" t="s">
        <v>119</v>
      </c>
      <c r="B114" s="9"/>
      <c r="C114" s="9"/>
      <c r="D114" s="9"/>
      <c r="E114" s="10">
        <f>50</f>
        <v>50</v>
      </c>
      <c r="F114" s="9"/>
      <c r="G114" s="10">
        <f>400</f>
        <v>400</v>
      </c>
      <c r="H114" s="9"/>
      <c r="I114" s="9"/>
      <c r="J114" s="9"/>
      <c r="K114" s="9"/>
      <c r="L114" s="10">
        <f t="shared" si="27"/>
        <v>450</v>
      </c>
    </row>
    <row r="115" spans="1:12" x14ac:dyDescent="0.25">
      <c r="A115" s="3" t="s">
        <v>120</v>
      </c>
      <c r="B115" s="11">
        <f t="shared" ref="B115:K115" si="33">((B112)+(B113))+(B114)</f>
        <v>0</v>
      </c>
      <c r="C115" s="11">
        <f t="shared" si="33"/>
        <v>0</v>
      </c>
      <c r="D115" s="11">
        <f t="shared" si="33"/>
        <v>0</v>
      </c>
      <c r="E115" s="11">
        <f t="shared" si="33"/>
        <v>125</v>
      </c>
      <c r="F115" s="11">
        <f t="shared" si="33"/>
        <v>0</v>
      </c>
      <c r="G115" s="11">
        <f t="shared" si="33"/>
        <v>1000</v>
      </c>
      <c r="H115" s="11">
        <f t="shared" si="33"/>
        <v>0</v>
      </c>
      <c r="I115" s="11">
        <f t="shared" si="33"/>
        <v>0</v>
      </c>
      <c r="J115" s="11">
        <f t="shared" si="33"/>
        <v>0</v>
      </c>
      <c r="K115" s="11">
        <f t="shared" si="33"/>
        <v>0</v>
      </c>
      <c r="L115" s="11">
        <f t="shared" si="27"/>
        <v>1125</v>
      </c>
    </row>
    <row r="116" spans="1:12" x14ac:dyDescent="0.25">
      <c r="A116" s="3" t="s">
        <v>121</v>
      </c>
      <c r="B116" s="11">
        <f t="shared" ref="B116:K116" si="34">(((((((((((((B64)+(B68))+(B72))+(B76))+(B80))+(B83))+(B87))+(B91))+(B95))+(B99))+(B103))+(B107))+(B111))+(B115)</f>
        <v>46289.849999999991</v>
      </c>
      <c r="C116" s="11">
        <f t="shared" si="34"/>
        <v>2366.71</v>
      </c>
      <c r="D116" s="11">
        <f t="shared" si="34"/>
        <v>14759.92</v>
      </c>
      <c r="E116" s="11">
        <f t="shared" si="34"/>
        <v>23915.919999999998</v>
      </c>
      <c r="F116" s="11">
        <f t="shared" si="34"/>
        <v>30511.200000000001</v>
      </c>
      <c r="G116" s="11">
        <f t="shared" si="34"/>
        <v>34072.080000000002</v>
      </c>
      <c r="H116" s="11">
        <f t="shared" si="34"/>
        <v>37470.83</v>
      </c>
      <c r="I116" s="11">
        <f t="shared" si="34"/>
        <v>35856.939999999995</v>
      </c>
      <c r="J116" s="11">
        <f t="shared" si="34"/>
        <v>12277.839999999998</v>
      </c>
      <c r="K116" s="11">
        <f t="shared" si="34"/>
        <v>18374</v>
      </c>
      <c r="L116" s="11">
        <f t="shared" si="27"/>
        <v>255895.29</v>
      </c>
    </row>
    <row r="117" spans="1:12" x14ac:dyDescent="0.25">
      <c r="A117" s="3" t="s">
        <v>122</v>
      </c>
      <c r="B117" s="11">
        <f t="shared" ref="B117:K117" si="35">(B59)-(B116)</f>
        <v>11739.030000000006</v>
      </c>
      <c r="C117" s="11">
        <f t="shared" si="35"/>
        <v>-35798.53</v>
      </c>
      <c r="D117" s="11">
        <f t="shared" si="35"/>
        <v>34550.620000000003</v>
      </c>
      <c r="E117" s="11">
        <f t="shared" si="35"/>
        <v>12636.590000000011</v>
      </c>
      <c r="F117" s="11">
        <f t="shared" si="35"/>
        <v>-8476.5299999999952</v>
      </c>
      <c r="G117" s="11">
        <f t="shared" si="35"/>
        <v>-74213.359999999986</v>
      </c>
      <c r="H117" s="11">
        <f t="shared" si="35"/>
        <v>-16255.689999999999</v>
      </c>
      <c r="I117" s="11">
        <f t="shared" si="35"/>
        <v>-33948.609999999986</v>
      </c>
      <c r="J117" s="11">
        <f t="shared" si="35"/>
        <v>5713.9499999999989</v>
      </c>
      <c r="K117" s="11">
        <f t="shared" si="35"/>
        <v>-96490.180000000008</v>
      </c>
      <c r="L117" s="11">
        <f t="shared" si="27"/>
        <v>-200542.70999999996</v>
      </c>
    </row>
    <row r="118" spans="1:12" x14ac:dyDescent="0.25">
      <c r="A118" s="3" t="s">
        <v>123</v>
      </c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</row>
    <row r="119" spans="1:12" x14ac:dyDescent="0.25">
      <c r="A119" s="3" t="s">
        <v>124</v>
      </c>
      <c r="B119" s="10">
        <f>205.63</f>
        <v>205.63</v>
      </c>
      <c r="C119" s="10">
        <f>192.57</f>
        <v>192.57</v>
      </c>
      <c r="D119" s="10">
        <f>3558.01</f>
        <v>3558.01</v>
      </c>
      <c r="E119" s="9"/>
      <c r="F119" s="9"/>
      <c r="G119" s="9"/>
      <c r="H119" s="9"/>
      <c r="I119" s="9"/>
      <c r="J119" s="9"/>
      <c r="K119" s="9"/>
      <c r="L119" s="10">
        <f>(((((((((B119)+(C119))+(D119))+(E119))+(F119))+(G119))+(H119))+(I119))+(J119))+(K119)</f>
        <v>3956.21</v>
      </c>
    </row>
    <row r="120" spans="1:12" x14ac:dyDescent="0.25">
      <c r="A120" s="3" t="s">
        <v>125</v>
      </c>
      <c r="B120" s="11">
        <f t="shared" ref="B120:K120" si="36">B119</f>
        <v>205.63</v>
      </c>
      <c r="C120" s="11">
        <f t="shared" si="36"/>
        <v>192.57</v>
      </c>
      <c r="D120" s="11">
        <f t="shared" si="36"/>
        <v>3558.01</v>
      </c>
      <c r="E120" s="11">
        <f t="shared" si="36"/>
        <v>0</v>
      </c>
      <c r="F120" s="11">
        <f t="shared" si="36"/>
        <v>0</v>
      </c>
      <c r="G120" s="11">
        <f t="shared" si="36"/>
        <v>0</v>
      </c>
      <c r="H120" s="11">
        <f t="shared" si="36"/>
        <v>0</v>
      </c>
      <c r="I120" s="11">
        <f t="shared" si="36"/>
        <v>0</v>
      </c>
      <c r="J120" s="11">
        <f t="shared" si="36"/>
        <v>0</v>
      </c>
      <c r="K120" s="11">
        <f t="shared" si="36"/>
        <v>0</v>
      </c>
      <c r="L120" s="11">
        <f>(((((((((B120)+(C120))+(D120))+(E120))+(F120))+(G120))+(H120))+(I120))+(J120))+(K120)</f>
        <v>3956.21</v>
      </c>
    </row>
    <row r="121" spans="1:12" x14ac:dyDescent="0.25">
      <c r="A121" s="3" t="s">
        <v>126</v>
      </c>
      <c r="B121" s="11">
        <f t="shared" ref="B121:K121" si="37">(B120)-(0)</f>
        <v>205.63</v>
      </c>
      <c r="C121" s="11">
        <f t="shared" si="37"/>
        <v>192.57</v>
      </c>
      <c r="D121" s="11">
        <f t="shared" si="37"/>
        <v>3558.01</v>
      </c>
      <c r="E121" s="11">
        <f t="shared" si="37"/>
        <v>0</v>
      </c>
      <c r="F121" s="11">
        <f t="shared" si="37"/>
        <v>0</v>
      </c>
      <c r="G121" s="11">
        <f t="shared" si="37"/>
        <v>0</v>
      </c>
      <c r="H121" s="11">
        <f t="shared" si="37"/>
        <v>0</v>
      </c>
      <c r="I121" s="11">
        <f t="shared" si="37"/>
        <v>0</v>
      </c>
      <c r="J121" s="11">
        <f t="shared" si="37"/>
        <v>0</v>
      </c>
      <c r="K121" s="11">
        <f t="shared" si="37"/>
        <v>0</v>
      </c>
      <c r="L121" s="11">
        <f>(((((((((B121)+(C121))+(D121))+(E121))+(F121))+(G121))+(H121))+(I121))+(J121))+(K121)</f>
        <v>3956.21</v>
      </c>
    </row>
    <row r="122" spans="1:12" x14ac:dyDescent="0.25">
      <c r="A122" s="3" t="s">
        <v>127</v>
      </c>
      <c r="B122" s="12">
        <f t="shared" ref="B122:K122" si="38">(B117)+(B121)</f>
        <v>11944.660000000005</v>
      </c>
      <c r="C122" s="12">
        <f t="shared" si="38"/>
        <v>-35605.96</v>
      </c>
      <c r="D122" s="12">
        <f t="shared" si="38"/>
        <v>38108.630000000005</v>
      </c>
      <c r="E122" s="12">
        <f t="shared" si="38"/>
        <v>12636.590000000011</v>
      </c>
      <c r="F122" s="12">
        <f t="shared" si="38"/>
        <v>-8476.5299999999952</v>
      </c>
      <c r="G122" s="12">
        <f t="shared" si="38"/>
        <v>-74213.359999999986</v>
      </c>
      <c r="H122" s="12">
        <f t="shared" si="38"/>
        <v>-16255.689999999999</v>
      </c>
      <c r="I122" s="12">
        <f t="shared" si="38"/>
        <v>-33948.609999999986</v>
      </c>
      <c r="J122" s="12">
        <f t="shared" si="38"/>
        <v>5713.9499999999989</v>
      </c>
      <c r="K122" s="12">
        <f t="shared" si="38"/>
        <v>-96490.180000000008</v>
      </c>
      <c r="L122" s="12">
        <f>(((((((((B122)+(C122))+(D122))+(E122))+(F122))+(G122))+(H122))+(I122))+(J122))+(K122)</f>
        <v>-196586.49999999994</v>
      </c>
    </row>
    <row r="123" spans="1:12" x14ac:dyDescent="0.25">
      <c r="A123" s="3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</row>
    <row r="126" spans="1:12" x14ac:dyDescent="0.25">
      <c r="A126" s="5" t="s">
        <v>128</v>
      </c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</row>
  </sheetData>
  <mergeCells count="4">
    <mergeCell ref="A126:L126"/>
    <mergeCell ref="A1:L1"/>
    <mergeCell ref="A2:L2"/>
    <mergeCell ref="A3:L3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Profit and Loss</vt:lpstr>
      <vt:lpstr>'Profit and Loss'!Print_Area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Dana Wilson</cp:lastModifiedBy>
  <dcterms:created xsi:type="dcterms:W3CDTF">2024-11-11T15:27:40Z</dcterms:created>
  <dcterms:modified xsi:type="dcterms:W3CDTF">2024-11-11T15:29:03Z</dcterms:modified>
</cp:coreProperties>
</file>