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WOWSC-PC\2024.11 Financial Reports\"/>
    </mc:Choice>
  </mc:AlternateContent>
  <xr:revisionPtr revIDLastSave="0" documentId="13_ncr:1_{613C1CCF-D807-46BE-941E-4DF9979D1B84}" xr6:coauthVersionLast="47" xr6:coauthVersionMax="47" xr10:uidLastSave="{00000000-0000-0000-0000-000000000000}"/>
  <bookViews>
    <workbookView xWindow="8610" yWindow="1320" windowWidth="40875" windowHeight="30345" xr2:uid="{00000000-000D-0000-FFFF-FFFF00000000}"/>
  </bookViews>
  <sheets>
    <sheet name="Profit and Loss by Month" sheetId="1" r:id="rId1"/>
  </sheets>
  <definedNames>
    <definedName name="_xlnm.Print_Area" localSheetId="0">'Profit and Loss by Month'!$A:$N</definedName>
    <definedName name="_xlnm.Print_Titles" localSheetId="0">'Profit and Loss by Month'!$1:$5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1" l="1"/>
  <c r="G123" i="1"/>
  <c r="F123" i="1"/>
  <c r="M122" i="1"/>
  <c r="M123" i="1" s="1"/>
  <c r="L122" i="1"/>
  <c r="L123" i="1" s="1"/>
  <c r="K122" i="1"/>
  <c r="K123" i="1" s="1"/>
  <c r="J122" i="1"/>
  <c r="J123" i="1" s="1"/>
  <c r="I122" i="1"/>
  <c r="I123" i="1" s="1"/>
  <c r="H122" i="1"/>
  <c r="G122" i="1"/>
  <c r="F122" i="1"/>
  <c r="E122" i="1"/>
  <c r="E123" i="1" s="1"/>
  <c r="D122" i="1"/>
  <c r="D123" i="1" s="1"/>
  <c r="C122" i="1"/>
  <c r="C123" i="1" s="1"/>
  <c r="D121" i="1"/>
  <c r="C121" i="1"/>
  <c r="B121" i="1"/>
  <c r="M117" i="1"/>
  <c r="L117" i="1"/>
  <c r="K117" i="1"/>
  <c r="J117" i="1"/>
  <c r="I117" i="1"/>
  <c r="H117" i="1"/>
  <c r="G117" i="1"/>
  <c r="F117" i="1"/>
  <c r="E117" i="1"/>
  <c r="D117" i="1"/>
  <c r="N117" i="1" s="1"/>
  <c r="C117" i="1"/>
  <c r="B117" i="1"/>
  <c r="G116" i="1"/>
  <c r="E116" i="1"/>
  <c r="N116" i="1" s="1"/>
  <c r="N115" i="1"/>
  <c r="G115" i="1"/>
  <c r="E115" i="1"/>
  <c r="N114" i="1"/>
  <c r="M113" i="1"/>
  <c r="L113" i="1"/>
  <c r="K113" i="1"/>
  <c r="J113" i="1"/>
  <c r="I113" i="1"/>
  <c r="H113" i="1"/>
  <c r="B113" i="1"/>
  <c r="L112" i="1"/>
  <c r="K112" i="1"/>
  <c r="I112" i="1"/>
  <c r="H112" i="1"/>
  <c r="G112" i="1"/>
  <c r="F112" i="1"/>
  <c r="E112" i="1"/>
  <c r="D112" i="1"/>
  <c r="C112" i="1"/>
  <c r="B112" i="1"/>
  <c r="L111" i="1"/>
  <c r="K111" i="1"/>
  <c r="I111" i="1"/>
  <c r="H111" i="1"/>
  <c r="G111" i="1"/>
  <c r="G113" i="1" s="1"/>
  <c r="F111" i="1"/>
  <c r="F113" i="1" s="1"/>
  <c r="E111" i="1"/>
  <c r="E113" i="1" s="1"/>
  <c r="D111" i="1"/>
  <c r="C111" i="1"/>
  <c r="B111" i="1"/>
  <c r="N110" i="1"/>
  <c r="M109" i="1"/>
  <c r="L109" i="1"/>
  <c r="K109" i="1"/>
  <c r="J109" i="1"/>
  <c r="H109" i="1"/>
  <c r="F109" i="1"/>
  <c r="E109" i="1"/>
  <c r="D109" i="1"/>
  <c r="C109" i="1"/>
  <c r="B109" i="1"/>
  <c r="N109" i="1" s="1"/>
  <c r="N108" i="1"/>
  <c r="I108" i="1"/>
  <c r="G108" i="1"/>
  <c r="I107" i="1"/>
  <c r="I109" i="1" s="1"/>
  <c r="G107" i="1"/>
  <c r="G109" i="1" s="1"/>
  <c r="N106" i="1"/>
  <c r="M105" i="1"/>
  <c r="L105" i="1"/>
  <c r="K105" i="1"/>
  <c r="J105" i="1"/>
  <c r="I105" i="1"/>
  <c r="H105" i="1"/>
  <c r="G105" i="1"/>
  <c r="F105" i="1"/>
  <c r="E105" i="1"/>
  <c r="D105" i="1"/>
  <c r="C105" i="1"/>
  <c r="B104" i="1"/>
  <c r="B105" i="1" s="1"/>
  <c r="N105" i="1" s="1"/>
  <c r="B103" i="1"/>
  <c r="N103" i="1" s="1"/>
  <c r="N102" i="1"/>
  <c r="M101" i="1"/>
  <c r="L101" i="1"/>
  <c r="I101" i="1"/>
  <c r="H101" i="1"/>
  <c r="G101" i="1"/>
  <c r="F101" i="1"/>
  <c r="E101" i="1"/>
  <c r="D101" i="1"/>
  <c r="C101" i="1"/>
  <c r="B101" i="1"/>
  <c r="H100" i="1"/>
  <c r="B100" i="1"/>
  <c r="N100" i="1" s="1"/>
  <c r="K99" i="1"/>
  <c r="K101" i="1" s="1"/>
  <c r="J99" i="1"/>
  <c r="D99" i="1"/>
  <c r="B99" i="1"/>
  <c r="N98" i="1"/>
  <c r="M97" i="1"/>
  <c r="L97" i="1"/>
  <c r="K97" i="1"/>
  <c r="J97" i="1"/>
  <c r="I97" i="1"/>
  <c r="H97" i="1"/>
  <c r="G97" i="1"/>
  <c r="F97" i="1"/>
  <c r="E97" i="1"/>
  <c r="D97" i="1"/>
  <c r="C97" i="1"/>
  <c r="B96" i="1"/>
  <c r="N96" i="1" s="1"/>
  <c r="B95" i="1"/>
  <c r="N95" i="1" s="1"/>
  <c r="N94" i="1"/>
  <c r="M93" i="1"/>
  <c r="D93" i="1"/>
  <c r="L92" i="1"/>
  <c r="L93" i="1" s="1"/>
  <c r="K92" i="1"/>
  <c r="K93" i="1" s="1"/>
  <c r="J92" i="1"/>
  <c r="J93" i="1" s="1"/>
  <c r="I92" i="1"/>
  <c r="H92" i="1"/>
  <c r="G92" i="1"/>
  <c r="F92" i="1"/>
  <c r="E92" i="1"/>
  <c r="D92" i="1"/>
  <c r="C92" i="1"/>
  <c r="B92" i="1"/>
  <c r="L91" i="1"/>
  <c r="K91" i="1"/>
  <c r="J91" i="1"/>
  <c r="I91" i="1"/>
  <c r="I93" i="1" s="1"/>
  <c r="H91" i="1"/>
  <c r="H93" i="1" s="1"/>
  <c r="G91" i="1"/>
  <c r="G93" i="1" s="1"/>
  <c r="F91" i="1"/>
  <c r="F93" i="1" s="1"/>
  <c r="E91" i="1"/>
  <c r="E93" i="1" s="1"/>
  <c r="D91" i="1"/>
  <c r="C91" i="1"/>
  <c r="C93" i="1" s="1"/>
  <c r="B91" i="1"/>
  <c r="N90" i="1"/>
  <c r="M89" i="1"/>
  <c r="L89" i="1"/>
  <c r="K89" i="1"/>
  <c r="J89" i="1"/>
  <c r="I89" i="1"/>
  <c r="H89" i="1"/>
  <c r="G89" i="1"/>
  <c r="F89" i="1"/>
  <c r="E89" i="1"/>
  <c r="D89" i="1"/>
  <c r="C89" i="1"/>
  <c r="B89" i="1"/>
  <c r="N89" i="1" s="1"/>
  <c r="N88" i="1"/>
  <c r="B88" i="1"/>
  <c r="B87" i="1"/>
  <c r="N87" i="1" s="1"/>
  <c r="N86" i="1"/>
  <c r="M85" i="1"/>
  <c r="L85" i="1"/>
  <c r="K85" i="1"/>
  <c r="J85" i="1"/>
  <c r="I85" i="1"/>
  <c r="H85" i="1"/>
  <c r="G85" i="1"/>
  <c r="F85" i="1"/>
  <c r="E85" i="1"/>
  <c r="D85" i="1"/>
  <c r="C85" i="1"/>
  <c r="B85" i="1"/>
  <c r="N85" i="1" s="1"/>
  <c r="K84" i="1"/>
  <c r="N84" i="1" s="1"/>
  <c r="L83" i="1"/>
  <c r="N83" i="1" s="1"/>
  <c r="N82" i="1"/>
  <c r="M81" i="1"/>
  <c r="I81" i="1"/>
  <c r="H81" i="1"/>
  <c r="G81" i="1"/>
  <c r="F81" i="1"/>
  <c r="D81" i="1"/>
  <c r="C81" i="1"/>
  <c r="L80" i="1"/>
  <c r="K80" i="1"/>
  <c r="J80" i="1"/>
  <c r="J81" i="1" s="1"/>
  <c r="I80" i="1"/>
  <c r="H80" i="1"/>
  <c r="G80" i="1"/>
  <c r="F80" i="1"/>
  <c r="E80" i="1"/>
  <c r="D80" i="1"/>
  <c r="B80" i="1"/>
  <c r="L79" i="1"/>
  <c r="L81" i="1" s="1"/>
  <c r="K79" i="1"/>
  <c r="K81" i="1" s="1"/>
  <c r="J79" i="1"/>
  <c r="I79" i="1"/>
  <c r="H79" i="1"/>
  <c r="G79" i="1"/>
  <c r="F79" i="1"/>
  <c r="E79" i="1"/>
  <c r="E81" i="1" s="1"/>
  <c r="D79" i="1"/>
  <c r="B79" i="1"/>
  <c r="N78" i="1"/>
  <c r="M77" i="1"/>
  <c r="L77" i="1"/>
  <c r="K77" i="1"/>
  <c r="I77" i="1"/>
  <c r="H77" i="1"/>
  <c r="D77" i="1"/>
  <c r="C77" i="1"/>
  <c r="B77" i="1"/>
  <c r="L76" i="1"/>
  <c r="K76" i="1"/>
  <c r="J76" i="1"/>
  <c r="J77" i="1" s="1"/>
  <c r="I76" i="1"/>
  <c r="H76" i="1"/>
  <c r="G76" i="1"/>
  <c r="F76" i="1"/>
  <c r="E76" i="1"/>
  <c r="L75" i="1"/>
  <c r="K75" i="1"/>
  <c r="J75" i="1"/>
  <c r="I75" i="1"/>
  <c r="H75" i="1"/>
  <c r="G75" i="1"/>
  <c r="G77" i="1" s="1"/>
  <c r="F75" i="1"/>
  <c r="F77" i="1" s="1"/>
  <c r="E75" i="1"/>
  <c r="E77" i="1" s="1"/>
  <c r="N74" i="1"/>
  <c r="M73" i="1"/>
  <c r="L73" i="1"/>
  <c r="J73" i="1"/>
  <c r="I73" i="1"/>
  <c r="H73" i="1"/>
  <c r="C73" i="1"/>
  <c r="K72" i="1"/>
  <c r="I72" i="1"/>
  <c r="G72" i="1"/>
  <c r="F72" i="1"/>
  <c r="E72" i="1"/>
  <c r="D72" i="1"/>
  <c r="B72" i="1"/>
  <c r="N72" i="1" s="1"/>
  <c r="N71" i="1"/>
  <c r="K71" i="1"/>
  <c r="K73" i="1" s="1"/>
  <c r="I71" i="1"/>
  <c r="G71" i="1"/>
  <c r="F71" i="1"/>
  <c r="E71" i="1"/>
  <c r="D71" i="1"/>
  <c r="B71" i="1"/>
  <c r="N70" i="1"/>
  <c r="M69" i="1"/>
  <c r="L69" i="1"/>
  <c r="K69" i="1"/>
  <c r="J69" i="1"/>
  <c r="I69" i="1"/>
  <c r="H69" i="1"/>
  <c r="G69" i="1"/>
  <c r="F69" i="1"/>
  <c r="C69" i="1"/>
  <c r="H68" i="1"/>
  <c r="G68" i="1"/>
  <c r="F68" i="1"/>
  <c r="E68" i="1"/>
  <c r="D68" i="1"/>
  <c r="D69" i="1" s="1"/>
  <c r="B68" i="1"/>
  <c r="H67" i="1"/>
  <c r="G67" i="1"/>
  <c r="F67" i="1"/>
  <c r="E67" i="1"/>
  <c r="E69" i="1" s="1"/>
  <c r="D67" i="1"/>
  <c r="B67" i="1"/>
  <c r="N66" i="1"/>
  <c r="M65" i="1"/>
  <c r="F65" i="1"/>
  <c r="E65" i="1"/>
  <c r="C65" i="1"/>
  <c r="B65" i="1"/>
  <c r="L64" i="1"/>
  <c r="K64" i="1"/>
  <c r="J64" i="1"/>
  <c r="I64" i="1"/>
  <c r="I65" i="1" s="1"/>
  <c r="I118" i="1" s="1"/>
  <c r="H64" i="1"/>
  <c r="H65" i="1" s="1"/>
  <c r="H118" i="1" s="1"/>
  <c r="G64" i="1"/>
  <c r="F64" i="1"/>
  <c r="E64" i="1"/>
  <c r="D64" i="1"/>
  <c r="C64" i="1"/>
  <c r="B64" i="1"/>
  <c r="L63" i="1"/>
  <c r="L65" i="1" s="1"/>
  <c r="K63" i="1"/>
  <c r="K65" i="1" s="1"/>
  <c r="J63" i="1"/>
  <c r="J65" i="1" s="1"/>
  <c r="I63" i="1"/>
  <c r="H63" i="1"/>
  <c r="G63" i="1"/>
  <c r="F63" i="1"/>
  <c r="E63" i="1"/>
  <c r="D63" i="1"/>
  <c r="N63" i="1" s="1"/>
  <c r="C63" i="1"/>
  <c r="B63" i="1"/>
  <c r="G62" i="1"/>
  <c r="G65" i="1" s="1"/>
  <c r="E62" i="1"/>
  <c r="D62" i="1"/>
  <c r="C62" i="1"/>
  <c r="B62" i="1"/>
  <c r="L59" i="1"/>
  <c r="M58" i="1"/>
  <c r="L58" i="1"/>
  <c r="K58" i="1"/>
  <c r="J58" i="1"/>
  <c r="I58" i="1"/>
  <c r="H58" i="1"/>
  <c r="G58" i="1"/>
  <c r="B58" i="1"/>
  <c r="K57" i="1"/>
  <c r="F57" i="1"/>
  <c r="F58" i="1" s="1"/>
  <c r="E57" i="1"/>
  <c r="E58" i="1" s="1"/>
  <c r="C57" i="1"/>
  <c r="C58" i="1" s="1"/>
  <c r="D56" i="1"/>
  <c r="D58" i="1" s="1"/>
  <c r="M55" i="1"/>
  <c r="M59" i="1" s="1"/>
  <c r="L55" i="1"/>
  <c r="K54" i="1"/>
  <c r="K55" i="1" s="1"/>
  <c r="J54" i="1"/>
  <c r="I54" i="1"/>
  <c r="H54" i="1"/>
  <c r="G54" i="1"/>
  <c r="F54" i="1"/>
  <c r="N54" i="1" s="1"/>
  <c r="D54" i="1"/>
  <c r="C54" i="1"/>
  <c r="B54" i="1"/>
  <c r="L53" i="1"/>
  <c r="J53" i="1"/>
  <c r="J55" i="1" s="1"/>
  <c r="I53" i="1"/>
  <c r="I55" i="1" s="1"/>
  <c r="H53" i="1"/>
  <c r="G53" i="1"/>
  <c r="F53" i="1"/>
  <c r="E53" i="1"/>
  <c r="E55" i="1" s="1"/>
  <c r="D53" i="1"/>
  <c r="D55" i="1" s="1"/>
  <c r="C53" i="1"/>
  <c r="C55" i="1" s="1"/>
  <c r="B53" i="1"/>
  <c r="M52" i="1"/>
  <c r="L52" i="1"/>
  <c r="K52" i="1"/>
  <c r="J52" i="1"/>
  <c r="I52" i="1"/>
  <c r="H52" i="1"/>
  <c r="G52" i="1"/>
  <c r="F52" i="1"/>
  <c r="E52" i="1"/>
  <c r="C52" i="1"/>
  <c r="B52" i="1"/>
  <c r="D51" i="1"/>
  <c r="D52" i="1" s="1"/>
  <c r="N52" i="1" s="1"/>
  <c r="N50" i="1"/>
  <c r="M49" i="1"/>
  <c r="L49" i="1"/>
  <c r="B49" i="1"/>
  <c r="K48" i="1"/>
  <c r="J48" i="1"/>
  <c r="I48" i="1"/>
  <c r="N48" i="1" s="1"/>
  <c r="H48" i="1"/>
  <c r="G48" i="1"/>
  <c r="F48" i="1"/>
  <c r="E48" i="1"/>
  <c r="D48" i="1"/>
  <c r="C48" i="1"/>
  <c r="B48" i="1"/>
  <c r="K47" i="1"/>
  <c r="J47" i="1"/>
  <c r="I47" i="1"/>
  <c r="H47" i="1"/>
  <c r="H49" i="1" s="1"/>
  <c r="G47" i="1"/>
  <c r="G49" i="1" s="1"/>
  <c r="F47" i="1"/>
  <c r="F49" i="1" s="1"/>
  <c r="E47" i="1"/>
  <c r="E49" i="1" s="1"/>
  <c r="D47" i="1"/>
  <c r="D49" i="1" s="1"/>
  <c r="D59" i="1" s="1"/>
  <c r="C47" i="1"/>
  <c r="N47" i="1" s="1"/>
  <c r="B47" i="1"/>
  <c r="N46" i="1"/>
  <c r="M45" i="1"/>
  <c r="L45" i="1"/>
  <c r="K45" i="1"/>
  <c r="J45" i="1"/>
  <c r="H45" i="1"/>
  <c r="G45" i="1"/>
  <c r="F45" i="1"/>
  <c r="E45" i="1"/>
  <c r="D45" i="1"/>
  <c r="C45" i="1"/>
  <c r="B45" i="1"/>
  <c r="N44" i="1"/>
  <c r="K44" i="1"/>
  <c r="I44" i="1"/>
  <c r="G44" i="1"/>
  <c r="E44" i="1"/>
  <c r="C44" i="1"/>
  <c r="B44" i="1"/>
  <c r="K43" i="1"/>
  <c r="I43" i="1"/>
  <c r="I45" i="1" s="1"/>
  <c r="G43" i="1"/>
  <c r="E43" i="1"/>
  <c r="C43" i="1"/>
  <c r="B43" i="1"/>
  <c r="N43" i="1" s="1"/>
  <c r="N42" i="1"/>
  <c r="M40" i="1"/>
  <c r="M60" i="1" s="1"/>
  <c r="G39" i="1"/>
  <c r="F39" i="1"/>
  <c r="E39" i="1"/>
  <c r="N39" i="1" s="1"/>
  <c r="N38" i="1"/>
  <c r="D38" i="1"/>
  <c r="B37" i="1"/>
  <c r="N37" i="1" s="1"/>
  <c r="L36" i="1"/>
  <c r="K36" i="1"/>
  <c r="J36" i="1"/>
  <c r="I36" i="1"/>
  <c r="H36" i="1"/>
  <c r="G36" i="1"/>
  <c r="F36" i="1"/>
  <c r="E36" i="1"/>
  <c r="D36" i="1"/>
  <c r="N36" i="1" s="1"/>
  <c r="M35" i="1"/>
  <c r="F35" i="1"/>
  <c r="C35" i="1"/>
  <c r="B35" i="1"/>
  <c r="L34" i="1"/>
  <c r="K34" i="1"/>
  <c r="J34" i="1"/>
  <c r="I34" i="1"/>
  <c r="H34" i="1"/>
  <c r="N34" i="1" s="1"/>
  <c r="G34" i="1"/>
  <c r="F34" i="1"/>
  <c r="E34" i="1"/>
  <c r="D34" i="1"/>
  <c r="L33" i="1"/>
  <c r="L35" i="1" s="1"/>
  <c r="K33" i="1"/>
  <c r="J33" i="1"/>
  <c r="I33" i="1"/>
  <c r="H33" i="1"/>
  <c r="G33" i="1"/>
  <c r="G35" i="1" s="1"/>
  <c r="F33" i="1"/>
  <c r="E33" i="1"/>
  <c r="E35" i="1" s="1"/>
  <c r="D33" i="1"/>
  <c r="N32" i="1"/>
  <c r="N31" i="1"/>
  <c r="C31" i="1"/>
  <c r="M30" i="1"/>
  <c r="L30" i="1"/>
  <c r="K30" i="1"/>
  <c r="J30" i="1"/>
  <c r="H30" i="1"/>
  <c r="G30" i="1"/>
  <c r="F30" i="1"/>
  <c r="E30" i="1"/>
  <c r="D30" i="1"/>
  <c r="C30" i="1"/>
  <c r="B30" i="1"/>
  <c r="I29" i="1"/>
  <c r="N29" i="1" s="1"/>
  <c r="H29" i="1"/>
  <c r="F29" i="1"/>
  <c r="E29" i="1"/>
  <c r="B29" i="1"/>
  <c r="I28" i="1"/>
  <c r="F28" i="1"/>
  <c r="E28" i="1"/>
  <c r="B28" i="1"/>
  <c r="N27" i="1"/>
  <c r="M26" i="1"/>
  <c r="L26" i="1"/>
  <c r="K26" i="1"/>
  <c r="J26" i="1"/>
  <c r="I26" i="1"/>
  <c r="H26" i="1"/>
  <c r="G26" i="1"/>
  <c r="D26" i="1"/>
  <c r="C26" i="1"/>
  <c r="I25" i="1"/>
  <c r="F25" i="1"/>
  <c r="E25" i="1"/>
  <c r="B25" i="1"/>
  <c r="I24" i="1"/>
  <c r="F24" i="1"/>
  <c r="E24" i="1"/>
  <c r="B24" i="1"/>
  <c r="N23" i="1"/>
  <c r="M22" i="1"/>
  <c r="G22" i="1"/>
  <c r="F22" i="1"/>
  <c r="E22" i="1"/>
  <c r="D22" i="1"/>
  <c r="C22" i="1"/>
  <c r="B22" i="1"/>
  <c r="N21" i="1"/>
  <c r="L21" i="1"/>
  <c r="K21" i="1"/>
  <c r="J21" i="1"/>
  <c r="I21" i="1"/>
  <c r="H21" i="1"/>
  <c r="G21" i="1"/>
  <c r="F21" i="1"/>
  <c r="E21" i="1"/>
  <c r="C21" i="1"/>
  <c r="B21" i="1"/>
  <c r="L20" i="1"/>
  <c r="L22" i="1" s="1"/>
  <c r="K20" i="1"/>
  <c r="K22" i="1" s="1"/>
  <c r="J20" i="1"/>
  <c r="J22" i="1" s="1"/>
  <c r="I20" i="1"/>
  <c r="I22" i="1" s="1"/>
  <c r="H20" i="1"/>
  <c r="H22" i="1" s="1"/>
  <c r="G20" i="1"/>
  <c r="F20" i="1"/>
  <c r="E20" i="1"/>
  <c r="C20" i="1"/>
  <c r="B20" i="1"/>
  <c r="N19" i="1"/>
  <c r="M18" i="1"/>
  <c r="J18" i="1"/>
  <c r="I18" i="1"/>
  <c r="F18" i="1"/>
  <c r="E18" i="1"/>
  <c r="L17" i="1"/>
  <c r="L18" i="1" s="1"/>
  <c r="K17" i="1"/>
  <c r="K18" i="1" s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H18" i="1" s="1"/>
  <c r="G16" i="1"/>
  <c r="N16" i="1" s="1"/>
  <c r="F16" i="1"/>
  <c r="E16" i="1"/>
  <c r="D16" i="1"/>
  <c r="C16" i="1"/>
  <c r="B16" i="1"/>
  <c r="N15" i="1"/>
  <c r="M14" i="1"/>
  <c r="E14" i="1"/>
  <c r="L13" i="1"/>
  <c r="L14" i="1" s="1"/>
  <c r="K13" i="1"/>
  <c r="K14" i="1" s="1"/>
  <c r="J13" i="1"/>
  <c r="N13" i="1" s="1"/>
  <c r="I13" i="1"/>
  <c r="H13" i="1"/>
  <c r="G13" i="1"/>
  <c r="F13" i="1"/>
  <c r="E13" i="1"/>
  <c r="D13" i="1"/>
  <c r="C13" i="1"/>
  <c r="B13" i="1"/>
  <c r="B14" i="1" s="1"/>
  <c r="L12" i="1"/>
  <c r="K12" i="1"/>
  <c r="J12" i="1"/>
  <c r="I12" i="1"/>
  <c r="I14" i="1" s="1"/>
  <c r="H12" i="1"/>
  <c r="H14" i="1" s="1"/>
  <c r="G12" i="1"/>
  <c r="G14" i="1" s="1"/>
  <c r="F12" i="1"/>
  <c r="F14" i="1" s="1"/>
  <c r="E12" i="1"/>
  <c r="D12" i="1"/>
  <c r="D14" i="1" s="1"/>
  <c r="C12" i="1"/>
  <c r="C14" i="1" s="1"/>
  <c r="B12" i="1"/>
  <c r="N11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E9" i="1"/>
  <c r="D9" i="1"/>
  <c r="C9" i="1"/>
  <c r="B9" i="1"/>
  <c r="E8" i="1"/>
  <c r="N8" i="1" s="1"/>
  <c r="D8" i="1"/>
  <c r="C8" i="1"/>
  <c r="B8" i="1"/>
  <c r="N7" i="1"/>
  <c r="N77" i="1" l="1"/>
  <c r="M119" i="1"/>
  <c r="M124" i="1" s="1"/>
  <c r="K118" i="1"/>
  <c r="L118" i="1"/>
  <c r="G40" i="1"/>
  <c r="N45" i="1"/>
  <c r="B59" i="1"/>
  <c r="N20" i="1"/>
  <c r="C49" i="1"/>
  <c r="N49" i="1" s="1"/>
  <c r="E59" i="1"/>
  <c r="I49" i="1"/>
  <c r="N12" i="1"/>
  <c r="N17" i="1"/>
  <c r="N33" i="1"/>
  <c r="D35" i="1"/>
  <c r="N35" i="1" s="1"/>
  <c r="J49" i="1"/>
  <c r="J59" i="1" s="1"/>
  <c r="B122" i="1"/>
  <c r="N121" i="1"/>
  <c r="K40" i="1"/>
  <c r="G59" i="1"/>
  <c r="K49" i="1"/>
  <c r="K59" i="1" s="1"/>
  <c r="N57" i="1"/>
  <c r="N65" i="1"/>
  <c r="B118" i="1"/>
  <c r="N67" i="1"/>
  <c r="B73" i="1"/>
  <c r="N79" i="1"/>
  <c r="N112" i="1"/>
  <c r="L40" i="1"/>
  <c r="L60" i="1" s="1"/>
  <c r="H59" i="1"/>
  <c r="N53" i="1"/>
  <c r="B55" i="1"/>
  <c r="N58" i="1"/>
  <c r="C118" i="1"/>
  <c r="B69" i="1"/>
  <c r="N69" i="1" s="1"/>
  <c r="N68" i="1"/>
  <c r="N80" i="1"/>
  <c r="N113" i="1"/>
  <c r="B26" i="1"/>
  <c r="N26" i="1" s="1"/>
  <c r="N25" i="1"/>
  <c r="N22" i="1"/>
  <c r="N28" i="1"/>
  <c r="I30" i="1"/>
  <c r="N30" i="1" s="1"/>
  <c r="N56" i="1"/>
  <c r="G18" i="1"/>
  <c r="I59" i="1"/>
  <c r="D65" i="1"/>
  <c r="D118" i="1" s="1"/>
  <c r="B18" i="1"/>
  <c r="H35" i="1"/>
  <c r="H40" i="1" s="1"/>
  <c r="H60" i="1" s="1"/>
  <c r="H119" i="1" s="1"/>
  <c r="H124" i="1" s="1"/>
  <c r="N51" i="1"/>
  <c r="N62" i="1"/>
  <c r="F118" i="1"/>
  <c r="F73" i="1"/>
  <c r="N92" i="1"/>
  <c r="B97" i="1"/>
  <c r="N97" i="1" s="1"/>
  <c r="N99" i="1"/>
  <c r="J101" i="1"/>
  <c r="J118" i="1" s="1"/>
  <c r="D18" i="1"/>
  <c r="D40" i="1" s="1"/>
  <c r="D60" i="1" s="1"/>
  <c r="D119" i="1" s="1"/>
  <c r="D124" i="1" s="1"/>
  <c r="F26" i="1"/>
  <c r="F40" i="1" s="1"/>
  <c r="F60" i="1" s="1"/>
  <c r="F119" i="1" s="1"/>
  <c r="F124" i="1" s="1"/>
  <c r="J35" i="1"/>
  <c r="F55" i="1"/>
  <c r="F59" i="1" s="1"/>
  <c r="N64" i="1"/>
  <c r="G73" i="1"/>
  <c r="G118" i="1" s="1"/>
  <c r="N91" i="1"/>
  <c r="B93" i="1"/>
  <c r="N93" i="1" s="1"/>
  <c r="N104" i="1"/>
  <c r="N107" i="1"/>
  <c r="N111" i="1"/>
  <c r="K35" i="1"/>
  <c r="G55" i="1"/>
  <c r="B81" i="1"/>
  <c r="N81" i="1" s="1"/>
  <c r="C113" i="1"/>
  <c r="N101" i="1"/>
  <c r="J14" i="1"/>
  <c r="J40" i="1" s="1"/>
  <c r="J60" i="1" s="1"/>
  <c r="D73" i="1"/>
  <c r="N75" i="1"/>
  <c r="E73" i="1"/>
  <c r="E118" i="1" s="1"/>
  <c r="N76" i="1"/>
  <c r="C18" i="1"/>
  <c r="C40" i="1" s="1"/>
  <c r="E26" i="1"/>
  <c r="E40" i="1" s="1"/>
  <c r="E60" i="1" s="1"/>
  <c r="E119" i="1" s="1"/>
  <c r="E124" i="1" s="1"/>
  <c r="I35" i="1"/>
  <c r="I40" i="1" s="1"/>
  <c r="I60" i="1" s="1"/>
  <c r="I119" i="1" s="1"/>
  <c r="I124" i="1" s="1"/>
  <c r="N10" i="1"/>
  <c r="N24" i="1"/>
  <c r="H55" i="1"/>
  <c r="M118" i="1"/>
  <c r="D113" i="1"/>
  <c r="N118" i="1" l="1"/>
  <c r="K60" i="1"/>
  <c r="K119" i="1" s="1"/>
  <c r="K124" i="1" s="1"/>
  <c r="N55" i="1"/>
  <c r="B123" i="1"/>
  <c r="N123" i="1" s="1"/>
  <c r="N122" i="1"/>
  <c r="N14" i="1"/>
  <c r="N73" i="1"/>
  <c r="C59" i="1"/>
  <c r="C60" i="1" s="1"/>
  <c r="C119" i="1" s="1"/>
  <c r="C124" i="1" s="1"/>
  <c r="N18" i="1"/>
  <c r="B40" i="1"/>
  <c r="G60" i="1"/>
  <c r="G119" i="1" s="1"/>
  <c r="G124" i="1" s="1"/>
  <c r="J119" i="1"/>
  <c r="J124" i="1" s="1"/>
  <c r="L119" i="1"/>
  <c r="L124" i="1" s="1"/>
  <c r="N40" i="1" l="1"/>
  <c r="B60" i="1"/>
  <c r="N59" i="1"/>
  <c r="B119" i="1" l="1"/>
  <c r="N60" i="1"/>
  <c r="B124" i="1" l="1"/>
  <c r="N124" i="1" s="1"/>
  <c r="N119" i="1"/>
</calcChain>
</file>

<file path=xl/sharedStrings.xml><?xml version="1.0" encoding="utf-8"?>
<sst xmlns="http://schemas.openxmlformats.org/spreadsheetml/2006/main" count="136" uniqueCount="136">
  <si>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</si>
  <si>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</si>
  <si>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</si>
  <si>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</si>
  <si>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</si>
  <si>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</si>
  <si>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</si>
  <si>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</si>
  <si>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</si>
  <si>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</si>
  <si>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</si>
  <si>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1, 2024</t>
  </si>
  <si>
    <t>Total</t>
  </si>
  <si>
    <t>Income</t>
  </si>
  <si>
    <t xml:space="preserve">   40000 Standby Fees</t>
  </si>
  <si>
    <t xml:space="preserve">      40000-5 Standby Fees - Water</t>
  </si>
  <si>
    <t xml:space="preserve">      40000-6 Standby Fees - Sewer</t>
  </si>
  <si>
    <t xml:space="preserve">   Total 40000 Standby Fees</t>
  </si>
  <si>
    <t xml:space="preserve">   40200 Water &amp; Sewer Services</t>
  </si>
  <si>
    <t xml:space="preserve">      40200-5 Water Services</t>
  </si>
  <si>
    <t xml:space="preserve">      40200-6 Sewer Services</t>
  </si>
  <si>
    <t xml:space="preserve">   Total 40200 Water &amp; Sewer Services</t>
  </si>
  <si>
    <t xml:space="preserve">   40300 Late Charges</t>
  </si>
  <si>
    <t xml:space="preserve">      40300-5 Late Charges - Water</t>
  </si>
  <si>
    <t xml:space="preserve">      40300-6 Late Charges - Sewer</t>
  </si>
  <si>
    <t xml:space="preserve">   Total 40300 Late Charges</t>
  </si>
  <si>
    <t xml:space="preserve">   40400 Membership Fees</t>
  </si>
  <si>
    <t xml:space="preserve">      40400-5 Membership Fees - Water</t>
  </si>
  <si>
    <t xml:space="preserve">      40400-6 Membership Fees - Sewer</t>
  </si>
  <si>
    <t xml:space="preserve">   Total 40400 Membership Fees</t>
  </si>
  <si>
    <t xml:space="preserve">   40500 Equity Buy-in Fees</t>
  </si>
  <si>
    <t xml:space="preserve">      40500-5 Equity Buy-In Fees - Water</t>
  </si>
  <si>
    <t xml:space="preserve">      40500-6 Equity Buy-In Fees - Sewer</t>
  </si>
  <si>
    <t xml:space="preserve">   Total 40500 Equity Buy-in Fees</t>
  </si>
  <si>
    <t xml:space="preserve">   40600 Water &amp; Sewer Taps</t>
  </si>
  <si>
    <t xml:space="preserve">      40600-5 Water Taps</t>
  </si>
  <si>
    <t xml:space="preserve">      40600-6 Sewer Taps</t>
  </si>
  <si>
    <t xml:space="preserve">   Total 40600 Water &amp; Sewer Taps</t>
  </si>
  <si>
    <t xml:space="preserve">   40700-6 Sewer Line Damage Repair</t>
  </si>
  <si>
    <t xml:space="preserve">   46600 Credits</t>
  </si>
  <si>
    <t xml:space="preserve">      46600-5 Water Credit</t>
  </si>
  <si>
    <t xml:space="preserve">      46600-6 Sewer Credit</t>
  </si>
  <si>
    <t xml:space="preserve">   Total 46600 Credits</t>
  </si>
  <si>
    <t xml:space="preserve">   46700 Surcharge</t>
  </si>
  <si>
    <t xml:space="preserve">   48000 Miscellaneous Income</t>
  </si>
  <si>
    <t xml:space="preserve">   49900 Uncategorized Income</t>
  </si>
  <si>
    <t xml:space="preserve">   Sales</t>
  </si>
  <si>
    <t>Total Income</t>
  </si>
  <si>
    <t>Cost of Goods Sold</t>
  </si>
  <si>
    <t xml:space="preserve">   50000 COS-Operator</t>
  </si>
  <si>
    <t xml:space="preserve">      50000-5 COS Operator - Water</t>
  </si>
  <si>
    <t xml:space="preserve">      50000-6 COS Operator - Sewer</t>
  </si>
  <si>
    <t xml:space="preserve">   Total 50000 COS-Operator</t>
  </si>
  <si>
    <t xml:space="preserve">   57500 COS-Electricity</t>
  </si>
  <si>
    <t xml:space="preserve">      57500-5 COS Electricity -Water</t>
  </si>
  <si>
    <t xml:space="preserve">      57500-6 COS Electricity -Sewer</t>
  </si>
  <si>
    <t xml:space="preserve">   Total 57500 COS-Electricity</t>
  </si>
  <si>
    <t xml:space="preserve">   58000 COS-Sludge Removal</t>
  </si>
  <si>
    <t xml:space="preserve">      58000-5 COS-Sludge Removal - Water</t>
  </si>
  <si>
    <t xml:space="preserve">   Total 58000 COS-Sludge Removal</t>
  </si>
  <si>
    <t xml:space="preserve">   58500 LCRA - Raw Water Fee</t>
  </si>
  <si>
    <t xml:space="preserve">      58550-5 Raw Water Fee-water</t>
  </si>
  <si>
    <t xml:space="preserve">   Total 58500 LCRA - Raw Water Fee</t>
  </si>
  <si>
    <t xml:space="preserve">   59000 COS-Lab Fees</t>
  </si>
  <si>
    <t xml:space="preserve">      59000-5 COS Lab Fees- Water</t>
  </si>
  <si>
    <t xml:space="preserve">   Total 59000 COS-Lab Fees</t>
  </si>
  <si>
    <t>Total Cost of Goods Sold</t>
  </si>
  <si>
    <t>Gross Profit</t>
  </si>
  <si>
    <t>Expenses</t>
  </si>
  <si>
    <t xml:space="preserve">   62000 Bank Charges</t>
  </si>
  <si>
    <t xml:space="preserve">      62000-5 Bank Charges - Water</t>
  </si>
  <si>
    <t xml:space="preserve">      62000-6 Bank Charges - Sewer</t>
  </si>
  <si>
    <t xml:space="preserve">   Total 62000 Bank Charges</t>
  </si>
  <si>
    <t xml:space="preserve">   62400 Bookkeeping</t>
  </si>
  <si>
    <t xml:space="preserve">      62400-5 Bookkeeping - Water</t>
  </si>
  <si>
    <t xml:space="preserve">      62400-6 Bookkeeping - Sewer</t>
  </si>
  <si>
    <t xml:space="preserve">   Total 62400 Bookkeeping</t>
  </si>
  <si>
    <t xml:space="preserve">   62600 Billing Services</t>
  </si>
  <si>
    <t xml:space="preserve">      62600-5 Billing - Water</t>
  </si>
  <si>
    <t xml:space="preserve">      62600-6 Billing - Sewer</t>
  </si>
  <si>
    <t xml:space="preserve">   Total 62600 Billing Services</t>
  </si>
  <si>
    <t xml:space="preserve">   63000 Legal/Appraisal</t>
  </si>
  <si>
    <t xml:space="preserve">      63100-5 Lawsuit 2017/18-Water</t>
  </si>
  <si>
    <t xml:space="preserve">      63100-6 Lawsuit 2017/18-Sewer</t>
  </si>
  <si>
    <t xml:space="preserve">   Total 63000 Legal/Appraisal</t>
  </si>
  <si>
    <t xml:space="preserve">   63500 Dues &amp; Subscriptions</t>
  </si>
  <si>
    <t xml:space="preserve">      63500-5 Dues/Subscriptions - Water</t>
  </si>
  <si>
    <t xml:space="preserve">      63500-6 Dues/Subscriptions  - Sewer</t>
  </si>
  <si>
    <t xml:space="preserve">   Total 63500 Dues &amp; Subscriptions</t>
  </si>
  <si>
    <t xml:space="preserve">   64000 TCEQ System Fee</t>
  </si>
  <si>
    <t xml:space="preserve">      64000-5 TCEQ System Fee - Water</t>
  </si>
  <si>
    <t xml:space="preserve">      64000-6 TCEQ System Fee - Sewer</t>
  </si>
  <si>
    <t xml:space="preserve">   Total 64000 TCEQ System Fee</t>
  </si>
  <si>
    <t xml:space="preserve">   65500 Insurance</t>
  </si>
  <si>
    <t xml:space="preserve">      65500-5 Insurance - Water</t>
  </si>
  <si>
    <t xml:space="preserve">      65500-6 Insurance - Sewer</t>
  </si>
  <si>
    <t xml:space="preserve">   Total 65500 Insurance</t>
  </si>
  <si>
    <t xml:space="preserve">   66500 Telephone and Internet</t>
  </si>
  <si>
    <t xml:space="preserve">      66500-5 Telephone/Internet - Water</t>
  </si>
  <si>
    <t xml:space="preserve">      66500-6 Telephone/Internet - Sewer</t>
  </si>
  <si>
    <t xml:space="preserve">   Total 66500 Telephone and Internet</t>
  </si>
  <si>
    <t xml:space="preserve">   67000 Postage &amp; Shipping Expense</t>
  </si>
  <si>
    <t xml:space="preserve">      67000-5 Postage &amp; Shipping - Water</t>
  </si>
  <si>
    <t xml:space="preserve">      67000-6 Postage &amp; Shipping - Sewer</t>
  </si>
  <si>
    <t xml:space="preserve">   Total 67000 Postage &amp; Shipping Expense</t>
  </si>
  <si>
    <t xml:space="preserve">   68500 Repairs &amp; Maintenance</t>
  </si>
  <si>
    <t xml:space="preserve">      68500-5 Repairs &amp; Maintenance - Water</t>
  </si>
  <si>
    <t xml:space="preserve">      68500-6 Repairs &amp; Maintenance - Sewer</t>
  </si>
  <si>
    <t xml:space="preserve">   Total 68500 Repairs &amp; Maintenance</t>
  </si>
  <si>
    <t xml:space="preserve">   68600 Repair Parts</t>
  </si>
  <si>
    <t xml:space="preserve">      68600-5 Repair Parts - Water</t>
  </si>
  <si>
    <t xml:space="preserve">      68600-6 Repair Parts - Sewer</t>
  </si>
  <si>
    <t xml:space="preserve">   Total 68600 Repair Parts</t>
  </si>
  <si>
    <t xml:space="preserve">   69000 Printing Expense</t>
  </si>
  <si>
    <t xml:space="preserve">      69000-5 Printing Expense - Water</t>
  </si>
  <si>
    <t xml:space="preserve">      69000-6 Printing Expense - Sewer</t>
  </si>
  <si>
    <t xml:space="preserve">   Total 69000 Printing Expense</t>
  </si>
  <si>
    <t xml:space="preserve">   71500 Interest Expense</t>
  </si>
  <si>
    <t xml:space="preserve">      71500-5 Interest Expense - Water</t>
  </si>
  <si>
    <t xml:space="preserve">      71500-6 Interest Expense - Sewer</t>
  </si>
  <si>
    <t xml:space="preserve">   Total 71500 Interest Expense</t>
  </si>
  <si>
    <t xml:space="preserve">   77500 Meetings/Conferences</t>
  </si>
  <si>
    <t xml:space="preserve">      77500-5 Meetings/Conferences-Water</t>
  </si>
  <si>
    <t xml:space="preserve">      77500-6 Meetings/Conferences-Sewer</t>
  </si>
  <si>
    <t xml:space="preserve">   Total 77500 Meetings/Conferences</t>
  </si>
  <si>
    <t>Total Expenses</t>
  </si>
  <si>
    <t>Net Operating Income</t>
  </si>
  <si>
    <t>Other Income</t>
  </si>
  <si>
    <t xml:space="preserve">   41000 Interest Income</t>
  </si>
  <si>
    <t>Total Other Income</t>
  </si>
  <si>
    <t>Net Other Income</t>
  </si>
  <si>
    <t>Net Income</t>
  </si>
  <si>
    <t>Wednesday, Dec 04, 2024 02:55:15 PM GMT-8 - Accrual Basis</t>
  </si>
  <si>
    <t>Windermere Oaks Water Supply Corp</t>
  </si>
  <si>
    <t>Profit and Loss by Month</t>
  </si>
  <si>
    <t>January 1 - December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</si>
</sst>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  <xf numFmtId="40" fontId="0" fillId="0" borderId="0" xfId="0" applyNumberFormat="1"/>
    <xf numFmtId="40" fontId="4" fillId="0" borderId="0" xfId="0" applyNumberFormat="1" applyFont="1" applyAlignment="1">
      <alignment horizontal="center"/>
    </xf>
    <xf numFmtId="40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8"/>
  <sheetViews>
    <sheetView tabSelected="1" workbookViewId="0">
      <selection sqref="A1:XFD5"/>
    </sheetView>
  </sheetViews>
  <sheetFormatPr defaultRowHeight="15" x14ac:dyDescent="0.25"/>
  <cols>
    <col min="1" max="1" width="37.85546875" customWidth="1"/>
    <col min="2" max="2" width="10.28515625" customWidth="1"/>
    <col min="3" max="3" width="11.140625" customWidth="1"/>
    <col min="4" max="5" width="9.42578125" customWidth="1"/>
    <col min="6" max="6" width="10.28515625" customWidth="1"/>
    <col min="7" max="9" width="11.140625" customWidth="1"/>
    <col min="10" max="10" width="9.42578125" customWidth="1"/>
    <col min="11" max="12" width="11.140625" customWidth="1"/>
    <col min="13" max="13" width="7.7109375" customWidth="1"/>
    <col min="14" max="14" width="12" customWidth="1"/>
  </cols>
  <sheetData>
    <row r="1" spans="1:14" ht="18" x14ac:dyDescent="0.25">
      <c r="A1" s="11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8" x14ac:dyDescent="0.25">
      <c r="A2" s="11" t="s">
        <v>134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5">
      <c r="A3" s="12" t="s">
        <v>135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4.75" x14ac:dyDescent="0.25">
      <c r="A5" s="2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</row>
    <row r="6" spans="1:14" x14ac:dyDescent="0.25">
      <c r="A6" s="4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>
        <f t="shared" ref="N7:N40" si="0">(((((((((((B7)+(C7))+(D7))+(E7))+(F7))+(G7))+(H7))+(I7))+(J7))+(K7))+(L7))+(M7)</f>
        <v>0</v>
      </c>
    </row>
    <row r="8" spans="1:14" x14ac:dyDescent="0.25">
      <c r="A8" s="4" t="s">
        <v>15</v>
      </c>
      <c r="B8" s="6">
        <f>15943.19</f>
        <v>15943.19</v>
      </c>
      <c r="C8" s="6">
        <f>154.2</f>
        <v>154.19999999999999</v>
      </c>
      <c r="D8" s="6">
        <f>372.6</f>
        <v>372.6</v>
      </c>
      <c r="E8" s="6">
        <f>124.2</f>
        <v>124.2</v>
      </c>
      <c r="F8" s="5"/>
      <c r="G8" s="5"/>
      <c r="H8" s="5"/>
      <c r="I8" s="5"/>
      <c r="J8" s="5"/>
      <c r="K8" s="5"/>
      <c r="L8" s="5"/>
      <c r="M8" s="5"/>
      <c r="N8" s="6">
        <f t="shared" si="0"/>
        <v>16594.190000000002</v>
      </c>
    </row>
    <row r="9" spans="1:14" x14ac:dyDescent="0.25">
      <c r="A9" s="4" t="s">
        <v>16</v>
      </c>
      <c r="B9" s="6">
        <f>9733.19</f>
        <v>9733.19</v>
      </c>
      <c r="C9" s="6">
        <f>154.2</f>
        <v>154.19999999999999</v>
      </c>
      <c r="D9" s="6">
        <f>372.6</f>
        <v>372.6</v>
      </c>
      <c r="E9" s="6">
        <f>124.2</f>
        <v>124.2</v>
      </c>
      <c r="F9" s="5"/>
      <c r="G9" s="5"/>
      <c r="H9" s="5"/>
      <c r="I9" s="5"/>
      <c r="J9" s="5"/>
      <c r="K9" s="5"/>
      <c r="L9" s="5"/>
      <c r="M9" s="5"/>
      <c r="N9" s="6">
        <f t="shared" si="0"/>
        <v>10384.190000000002</v>
      </c>
    </row>
    <row r="10" spans="1:14" x14ac:dyDescent="0.25">
      <c r="A10" s="4" t="s">
        <v>17</v>
      </c>
      <c r="B10" s="7">
        <f t="shared" ref="B10:M10" si="1">((B7)+(B8))+(B9)</f>
        <v>25676.38</v>
      </c>
      <c r="C10" s="7">
        <f t="shared" si="1"/>
        <v>308.39999999999998</v>
      </c>
      <c r="D10" s="7">
        <f t="shared" si="1"/>
        <v>745.2</v>
      </c>
      <c r="E10" s="7">
        <f t="shared" si="1"/>
        <v>248.4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  <c r="K10" s="7">
        <f t="shared" si="1"/>
        <v>0</v>
      </c>
      <c r="L10" s="7">
        <f t="shared" si="1"/>
        <v>0</v>
      </c>
      <c r="M10" s="7">
        <f t="shared" si="1"/>
        <v>0</v>
      </c>
      <c r="N10" s="7">
        <f t="shared" si="0"/>
        <v>26978.380000000005</v>
      </c>
    </row>
    <row r="11" spans="1:14" x14ac:dyDescent="0.25">
      <c r="A11" s="4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>
        <f t="shared" si="0"/>
        <v>0</v>
      </c>
    </row>
    <row r="12" spans="1:14" x14ac:dyDescent="0.25">
      <c r="A12" s="4" t="s">
        <v>19</v>
      </c>
      <c r="B12" s="6">
        <f>31624.19</f>
        <v>31624.19</v>
      </c>
      <c r="C12" s="6">
        <f>29144.15</f>
        <v>29144.15</v>
      </c>
      <c r="D12" s="6">
        <f>30414.69</f>
        <v>30414.69</v>
      </c>
      <c r="E12" s="6">
        <f>22730.37</f>
        <v>22730.37</v>
      </c>
      <c r="F12" s="6">
        <f>15136.89</f>
        <v>15136.89</v>
      </c>
      <c r="G12" s="6">
        <f>15882.45</f>
        <v>15882.45</v>
      </c>
      <c r="H12" s="6">
        <f>18871.74</f>
        <v>18871.740000000002</v>
      </c>
      <c r="I12" s="6">
        <f>18289.65</f>
        <v>18289.650000000001</v>
      </c>
      <c r="J12" s="6">
        <f>17547.69</f>
        <v>17547.689999999999</v>
      </c>
      <c r="K12" s="6">
        <f>21386.67</f>
        <v>21386.67</v>
      </c>
      <c r="L12" s="6">
        <f>17210.08</f>
        <v>17210.080000000002</v>
      </c>
      <c r="M12" s="5"/>
      <c r="N12" s="6">
        <f t="shared" si="0"/>
        <v>238238.57</v>
      </c>
    </row>
    <row r="13" spans="1:14" x14ac:dyDescent="0.25">
      <c r="A13" s="4" t="s">
        <v>20</v>
      </c>
      <c r="B13" s="6">
        <f>21464.41</f>
        <v>21464.41</v>
      </c>
      <c r="C13" s="6">
        <f>19395.12</f>
        <v>19395.12</v>
      </c>
      <c r="D13" s="6">
        <f>20836.11</f>
        <v>20836.11</v>
      </c>
      <c r="E13" s="6">
        <f>14895.77</f>
        <v>14895.77</v>
      </c>
      <c r="F13" s="6">
        <f>12132.9</f>
        <v>12132.9</v>
      </c>
      <c r="G13" s="6">
        <f>12189.55</f>
        <v>12189.55</v>
      </c>
      <c r="H13" s="6">
        <f>13353.75</f>
        <v>13353.75</v>
      </c>
      <c r="I13" s="6">
        <f>13364.97</f>
        <v>13364.97</v>
      </c>
      <c r="J13" s="6">
        <f>13124.91</f>
        <v>13124.91</v>
      </c>
      <c r="K13" s="6">
        <f>14744.23</f>
        <v>14744.23</v>
      </c>
      <c r="L13" s="6">
        <f>12227.35</f>
        <v>12227.35</v>
      </c>
      <c r="M13" s="5"/>
      <c r="N13" s="6">
        <f t="shared" si="0"/>
        <v>167729.07</v>
      </c>
    </row>
    <row r="14" spans="1:14" x14ac:dyDescent="0.25">
      <c r="A14" s="4" t="s">
        <v>21</v>
      </c>
      <c r="B14" s="7">
        <f t="shared" ref="B14:M14" si="2">((B11)+(B12))+(B13)</f>
        <v>53088.6</v>
      </c>
      <c r="C14" s="7">
        <f t="shared" si="2"/>
        <v>48539.270000000004</v>
      </c>
      <c r="D14" s="7">
        <f t="shared" si="2"/>
        <v>51250.8</v>
      </c>
      <c r="E14" s="7">
        <f t="shared" si="2"/>
        <v>37626.14</v>
      </c>
      <c r="F14" s="7">
        <f t="shared" si="2"/>
        <v>27269.79</v>
      </c>
      <c r="G14" s="7">
        <f t="shared" si="2"/>
        <v>28072</v>
      </c>
      <c r="H14" s="7">
        <f t="shared" si="2"/>
        <v>32225.49</v>
      </c>
      <c r="I14" s="7">
        <f t="shared" si="2"/>
        <v>31654.620000000003</v>
      </c>
      <c r="J14" s="7">
        <f t="shared" si="2"/>
        <v>30672.6</v>
      </c>
      <c r="K14" s="7">
        <f t="shared" si="2"/>
        <v>36130.899999999994</v>
      </c>
      <c r="L14" s="7">
        <f t="shared" si="2"/>
        <v>29437.43</v>
      </c>
      <c r="M14" s="7">
        <f t="shared" si="2"/>
        <v>0</v>
      </c>
      <c r="N14" s="7">
        <f t="shared" si="0"/>
        <v>405967.63999999996</v>
      </c>
    </row>
    <row r="15" spans="1:14" x14ac:dyDescent="0.25">
      <c r="A15" s="4" t="s">
        <v>22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>
        <f t="shared" si="0"/>
        <v>0</v>
      </c>
    </row>
    <row r="16" spans="1:14" x14ac:dyDescent="0.25">
      <c r="A16" s="4" t="s">
        <v>23</v>
      </c>
      <c r="B16" s="6">
        <f>353.55</f>
        <v>353.55</v>
      </c>
      <c r="C16" s="6">
        <f>338.82</f>
        <v>338.82</v>
      </c>
      <c r="D16" s="6">
        <f>580.1</f>
        <v>580.1</v>
      </c>
      <c r="E16" s="6">
        <f>481.73</f>
        <v>481.73</v>
      </c>
      <c r="F16" s="6">
        <f>350.26</f>
        <v>350.26</v>
      </c>
      <c r="G16" s="6">
        <f>114.61</f>
        <v>114.61</v>
      </c>
      <c r="H16" s="6">
        <f>235.72</f>
        <v>235.72</v>
      </c>
      <c r="I16" s="6">
        <f>127.38</f>
        <v>127.38</v>
      </c>
      <c r="J16" s="6">
        <f>138.64</f>
        <v>138.63999999999999</v>
      </c>
      <c r="K16" s="6">
        <f>393.69</f>
        <v>393.69</v>
      </c>
      <c r="L16" s="6">
        <f>104.7</f>
        <v>104.7</v>
      </c>
      <c r="M16" s="5"/>
      <c r="N16" s="6">
        <f t="shared" si="0"/>
        <v>3219.2</v>
      </c>
    </row>
    <row r="17" spans="1:14" x14ac:dyDescent="0.25">
      <c r="A17" s="4" t="s">
        <v>24</v>
      </c>
      <c r="B17" s="6">
        <f>240.42</f>
        <v>240.42</v>
      </c>
      <c r="C17" s="6">
        <f>214.63</f>
        <v>214.63</v>
      </c>
      <c r="D17" s="6">
        <f>379.4</f>
        <v>379.4</v>
      </c>
      <c r="E17" s="6">
        <f>275.51</f>
        <v>275.51</v>
      </c>
      <c r="F17" s="6">
        <f>281.83</f>
        <v>281.83</v>
      </c>
      <c r="G17" s="6">
        <f>141.96</f>
        <v>141.96</v>
      </c>
      <c r="H17" s="6">
        <f>363.34</f>
        <v>363.34</v>
      </c>
      <c r="I17" s="6">
        <f>99.99</f>
        <v>99.99</v>
      </c>
      <c r="J17" s="6">
        <f>102.34</f>
        <v>102.34</v>
      </c>
      <c r="K17" s="6">
        <f>276.94</f>
        <v>276.94</v>
      </c>
      <c r="L17" s="6">
        <f>78.8</f>
        <v>78.8</v>
      </c>
      <c r="M17" s="5"/>
      <c r="N17" s="6">
        <f t="shared" si="0"/>
        <v>2455.1600000000003</v>
      </c>
    </row>
    <row r="18" spans="1:14" x14ac:dyDescent="0.25">
      <c r="A18" s="4" t="s">
        <v>25</v>
      </c>
      <c r="B18" s="7">
        <f t="shared" ref="B18:M18" si="3">((B15)+(B16))+(B17)</f>
        <v>593.97</v>
      </c>
      <c r="C18" s="7">
        <f t="shared" si="3"/>
        <v>553.45000000000005</v>
      </c>
      <c r="D18" s="7">
        <f t="shared" si="3"/>
        <v>959.5</v>
      </c>
      <c r="E18" s="7">
        <f t="shared" si="3"/>
        <v>757.24</v>
      </c>
      <c r="F18" s="7">
        <f t="shared" si="3"/>
        <v>632.08999999999992</v>
      </c>
      <c r="G18" s="7">
        <f t="shared" si="3"/>
        <v>256.57</v>
      </c>
      <c r="H18" s="7">
        <f t="shared" si="3"/>
        <v>599.05999999999995</v>
      </c>
      <c r="I18" s="7">
        <f t="shared" si="3"/>
        <v>227.37</v>
      </c>
      <c r="J18" s="7">
        <f t="shared" si="3"/>
        <v>240.98</v>
      </c>
      <c r="K18" s="7">
        <f t="shared" si="3"/>
        <v>670.63</v>
      </c>
      <c r="L18" s="7">
        <f t="shared" si="3"/>
        <v>183.5</v>
      </c>
      <c r="M18" s="7">
        <f t="shared" si="3"/>
        <v>0</v>
      </c>
      <c r="N18" s="7">
        <f t="shared" si="0"/>
        <v>5674.36</v>
      </c>
    </row>
    <row r="19" spans="1:14" x14ac:dyDescent="0.25">
      <c r="A19" s="4" t="s">
        <v>26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>
        <f t="shared" si="0"/>
        <v>0</v>
      </c>
    </row>
    <row r="20" spans="1:14" x14ac:dyDescent="0.25">
      <c r="A20" s="4" t="s">
        <v>27</v>
      </c>
      <c r="B20" s="6">
        <f>201.25</f>
        <v>201.25</v>
      </c>
      <c r="C20" s="6">
        <f>201.25</f>
        <v>201.25</v>
      </c>
      <c r="D20" s="5"/>
      <c r="E20" s="6">
        <f>402.5</f>
        <v>402.5</v>
      </c>
      <c r="F20" s="6">
        <f>201.25</f>
        <v>201.25</v>
      </c>
      <c r="G20" s="6">
        <f>402.5</f>
        <v>402.5</v>
      </c>
      <c r="H20" s="6">
        <f>-148.75</f>
        <v>-148.75</v>
      </c>
      <c r="I20" s="6">
        <f>-350</f>
        <v>-350</v>
      </c>
      <c r="J20" s="6">
        <f>26.25</f>
        <v>26.25</v>
      </c>
      <c r="K20" s="6">
        <f>26.25</f>
        <v>26.25</v>
      </c>
      <c r="L20" s="6">
        <f>-175</f>
        <v>-175</v>
      </c>
      <c r="M20" s="5"/>
      <c r="N20" s="6">
        <f t="shared" si="0"/>
        <v>787.5</v>
      </c>
    </row>
    <row r="21" spans="1:14" x14ac:dyDescent="0.25">
      <c r="A21" s="4" t="s">
        <v>28</v>
      </c>
      <c r="B21" s="6">
        <f>201.25</f>
        <v>201.25</v>
      </c>
      <c r="C21" s="6">
        <f>201.25</f>
        <v>201.25</v>
      </c>
      <c r="D21" s="5"/>
      <c r="E21" s="6">
        <f>402.5</f>
        <v>402.5</v>
      </c>
      <c r="F21" s="6">
        <f>201.25</f>
        <v>201.25</v>
      </c>
      <c r="G21" s="6">
        <f>402.5</f>
        <v>402.5</v>
      </c>
      <c r="H21" s="6">
        <f>-148.75</f>
        <v>-148.75</v>
      </c>
      <c r="I21" s="6">
        <f>-350</f>
        <v>-350</v>
      </c>
      <c r="J21" s="6">
        <f>26.25</f>
        <v>26.25</v>
      </c>
      <c r="K21" s="6">
        <f>26.25</f>
        <v>26.25</v>
      </c>
      <c r="L21" s="6">
        <f>-175</f>
        <v>-175</v>
      </c>
      <c r="M21" s="5"/>
      <c r="N21" s="6">
        <f t="shared" si="0"/>
        <v>787.5</v>
      </c>
    </row>
    <row r="22" spans="1:14" x14ac:dyDescent="0.25">
      <c r="A22" s="4" t="s">
        <v>29</v>
      </c>
      <c r="B22" s="7">
        <f t="shared" ref="B22:M22" si="4">((B19)+(B20))+(B21)</f>
        <v>402.5</v>
      </c>
      <c r="C22" s="7">
        <f t="shared" si="4"/>
        <v>402.5</v>
      </c>
      <c r="D22" s="7">
        <f t="shared" si="4"/>
        <v>0</v>
      </c>
      <c r="E22" s="7">
        <f t="shared" si="4"/>
        <v>805</v>
      </c>
      <c r="F22" s="7">
        <f t="shared" si="4"/>
        <v>402.5</v>
      </c>
      <c r="G22" s="7">
        <f t="shared" si="4"/>
        <v>805</v>
      </c>
      <c r="H22" s="7">
        <f t="shared" si="4"/>
        <v>-297.5</v>
      </c>
      <c r="I22" s="7">
        <f t="shared" si="4"/>
        <v>-700</v>
      </c>
      <c r="J22" s="7">
        <f t="shared" si="4"/>
        <v>52.5</v>
      </c>
      <c r="K22" s="7">
        <f t="shared" si="4"/>
        <v>52.5</v>
      </c>
      <c r="L22" s="7">
        <f t="shared" si="4"/>
        <v>-350</v>
      </c>
      <c r="M22" s="7">
        <f t="shared" si="4"/>
        <v>0</v>
      </c>
      <c r="N22" s="7">
        <f t="shared" si="0"/>
        <v>1575</v>
      </c>
    </row>
    <row r="23" spans="1:14" x14ac:dyDescent="0.25">
      <c r="A23" s="4" t="s">
        <v>30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>
        <f t="shared" si="0"/>
        <v>0</v>
      </c>
    </row>
    <row r="24" spans="1:14" x14ac:dyDescent="0.25">
      <c r="A24" s="4" t="s">
        <v>31</v>
      </c>
      <c r="B24" s="6">
        <f>2300</f>
        <v>2300</v>
      </c>
      <c r="C24" s="5"/>
      <c r="D24" s="5"/>
      <c r="E24" s="6">
        <f>2300</f>
        <v>2300</v>
      </c>
      <c r="F24" s="6">
        <f>2300</f>
        <v>2300</v>
      </c>
      <c r="G24" s="5"/>
      <c r="H24" s="5"/>
      <c r="I24" s="6">
        <f>2300</f>
        <v>2300</v>
      </c>
      <c r="J24" s="5"/>
      <c r="K24" s="5"/>
      <c r="L24" s="5"/>
      <c r="M24" s="5"/>
      <c r="N24" s="6">
        <f t="shared" si="0"/>
        <v>9200</v>
      </c>
    </row>
    <row r="25" spans="1:14" x14ac:dyDescent="0.25">
      <c r="A25" s="4" t="s">
        <v>32</v>
      </c>
      <c r="B25" s="6">
        <f>2300</f>
        <v>2300</v>
      </c>
      <c r="C25" s="5"/>
      <c r="D25" s="5"/>
      <c r="E25" s="6">
        <f>2300</f>
        <v>2300</v>
      </c>
      <c r="F25" s="6">
        <f>2300</f>
        <v>2300</v>
      </c>
      <c r="G25" s="5"/>
      <c r="H25" s="5"/>
      <c r="I25" s="6">
        <f>2300</f>
        <v>2300</v>
      </c>
      <c r="J25" s="5"/>
      <c r="K25" s="5"/>
      <c r="L25" s="5"/>
      <c r="M25" s="5"/>
      <c r="N25" s="6">
        <f t="shared" si="0"/>
        <v>9200</v>
      </c>
    </row>
    <row r="26" spans="1:14" x14ac:dyDescent="0.25">
      <c r="A26" s="4" t="s">
        <v>33</v>
      </c>
      <c r="B26" s="7">
        <f t="shared" ref="B26:M26" si="5">((B23)+(B24))+(B25)</f>
        <v>4600</v>
      </c>
      <c r="C26" s="7">
        <f t="shared" si="5"/>
        <v>0</v>
      </c>
      <c r="D26" s="7">
        <f t="shared" si="5"/>
        <v>0</v>
      </c>
      <c r="E26" s="7">
        <f t="shared" si="5"/>
        <v>4600</v>
      </c>
      <c r="F26" s="7">
        <f t="shared" si="5"/>
        <v>4600</v>
      </c>
      <c r="G26" s="7">
        <f t="shared" si="5"/>
        <v>0</v>
      </c>
      <c r="H26" s="7">
        <f t="shared" si="5"/>
        <v>0</v>
      </c>
      <c r="I26" s="7">
        <f t="shared" si="5"/>
        <v>4600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0"/>
        <v>18400</v>
      </c>
    </row>
    <row r="27" spans="1:14" x14ac:dyDescent="0.25">
      <c r="A27" s="4" t="s">
        <v>34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>
        <f t="shared" si="0"/>
        <v>0</v>
      </c>
    </row>
    <row r="28" spans="1:14" x14ac:dyDescent="0.25">
      <c r="A28" s="4" t="s">
        <v>35</v>
      </c>
      <c r="B28" s="6">
        <f>862.5</f>
        <v>862.5</v>
      </c>
      <c r="C28" s="5"/>
      <c r="D28" s="5"/>
      <c r="E28" s="6">
        <f>862.5</f>
        <v>862.5</v>
      </c>
      <c r="F28" s="6">
        <f>862.5</f>
        <v>862.5</v>
      </c>
      <c r="G28" s="5"/>
      <c r="H28" s="5"/>
      <c r="I28" s="6">
        <f>862.5</f>
        <v>862.5</v>
      </c>
      <c r="J28" s="5"/>
      <c r="K28" s="5"/>
      <c r="L28" s="5"/>
      <c r="M28" s="5"/>
      <c r="N28" s="6">
        <f t="shared" si="0"/>
        <v>3450</v>
      </c>
    </row>
    <row r="29" spans="1:14" x14ac:dyDescent="0.25">
      <c r="A29" s="4" t="s">
        <v>36</v>
      </c>
      <c r="B29" s="6">
        <f>862.5</f>
        <v>862.5</v>
      </c>
      <c r="C29" s="5"/>
      <c r="D29" s="5"/>
      <c r="E29" s="6">
        <f>862.5</f>
        <v>862.5</v>
      </c>
      <c r="F29" s="6">
        <f>862.5</f>
        <v>862.5</v>
      </c>
      <c r="G29" s="5"/>
      <c r="H29" s="6">
        <f>1725</f>
        <v>1725</v>
      </c>
      <c r="I29" s="6">
        <f>862.5</f>
        <v>862.5</v>
      </c>
      <c r="J29" s="5"/>
      <c r="K29" s="5"/>
      <c r="L29" s="5"/>
      <c r="M29" s="5"/>
      <c r="N29" s="6">
        <f t="shared" si="0"/>
        <v>5175</v>
      </c>
    </row>
    <row r="30" spans="1:14" x14ac:dyDescent="0.25">
      <c r="A30" s="4" t="s">
        <v>37</v>
      </c>
      <c r="B30" s="7">
        <f t="shared" ref="B30:M30" si="6">((B27)+(B28))+(B29)</f>
        <v>1725</v>
      </c>
      <c r="C30" s="7">
        <f t="shared" si="6"/>
        <v>0</v>
      </c>
      <c r="D30" s="7">
        <f t="shared" si="6"/>
        <v>0</v>
      </c>
      <c r="E30" s="7">
        <f t="shared" si="6"/>
        <v>1725</v>
      </c>
      <c r="F30" s="7">
        <f t="shared" si="6"/>
        <v>1725</v>
      </c>
      <c r="G30" s="7">
        <f t="shared" si="6"/>
        <v>0</v>
      </c>
      <c r="H30" s="7">
        <f t="shared" si="6"/>
        <v>1725</v>
      </c>
      <c r="I30" s="7">
        <f t="shared" si="6"/>
        <v>1725</v>
      </c>
      <c r="J30" s="7">
        <f t="shared" si="6"/>
        <v>0</v>
      </c>
      <c r="K30" s="7">
        <f t="shared" si="6"/>
        <v>0</v>
      </c>
      <c r="L30" s="7">
        <f t="shared" si="6"/>
        <v>0</v>
      </c>
      <c r="M30" s="7">
        <f t="shared" si="6"/>
        <v>0</v>
      </c>
      <c r="N30" s="7">
        <f t="shared" si="0"/>
        <v>8625</v>
      </c>
    </row>
    <row r="31" spans="1:14" x14ac:dyDescent="0.25">
      <c r="A31" s="4" t="s">
        <v>38</v>
      </c>
      <c r="B31" s="5"/>
      <c r="C31" s="6">
        <f>800</f>
        <v>800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6">
        <f t="shared" si="0"/>
        <v>800</v>
      </c>
    </row>
    <row r="32" spans="1:14" x14ac:dyDescent="0.25">
      <c r="A32" s="4" t="s">
        <v>39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>
        <f t="shared" si="0"/>
        <v>0</v>
      </c>
    </row>
    <row r="33" spans="1:14" x14ac:dyDescent="0.25">
      <c r="A33" s="4" t="s">
        <v>40</v>
      </c>
      <c r="B33" s="5"/>
      <c r="C33" s="5"/>
      <c r="D33" s="6">
        <f>-1046.16</f>
        <v>-1046.1600000000001</v>
      </c>
      <c r="E33" s="6">
        <f>-11828.65</f>
        <v>-11828.65</v>
      </c>
      <c r="F33" s="6">
        <f>-10897.5</f>
        <v>-10897.5</v>
      </c>
      <c r="G33" s="6">
        <f>-11844.61</f>
        <v>-11844.61</v>
      </c>
      <c r="H33" s="6">
        <f>-11615</f>
        <v>-11615</v>
      </c>
      <c r="I33" s="6">
        <f>-11461.01</f>
        <v>-11461.01</v>
      </c>
      <c r="J33" s="6">
        <f>-11407.76</f>
        <v>-11407.76</v>
      </c>
      <c r="K33" s="6">
        <f>-12298.97</f>
        <v>-12298.97</v>
      </c>
      <c r="L33" s="6">
        <f>-10070.91</f>
        <v>-10070.91</v>
      </c>
      <c r="M33" s="5"/>
      <c r="N33" s="6">
        <f t="shared" si="0"/>
        <v>-92470.57</v>
      </c>
    </row>
    <row r="34" spans="1:14" x14ac:dyDescent="0.25">
      <c r="A34" s="4" t="s">
        <v>41</v>
      </c>
      <c r="B34" s="5"/>
      <c r="C34" s="5"/>
      <c r="D34" s="6">
        <f>-768.72</f>
        <v>-768.72</v>
      </c>
      <c r="E34" s="6">
        <f>-8093.37</f>
        <v>-8093.37</v>
      </c>
      <c r="F34" s="6">
        <f>-7634.7</f>
        <v>-7634.7</v>
      </c>
      <c r="G34" s="6">
        <f>-8078.49</f>
        <v>-8078.49</v>
      </c>
      <c r="H34" s="6">
        <f>-8220.54</f>
        <v>-8220.5400000000009</v>
      </c>
      <c r="I34" s="6">
        <f>-7760.38</f>
        <v>-7760.38</v>
      </c>
      <c r="J34" s="6">
        <f>-7918.15</f>
        <v>-7918.15</v>
      </c>
      <c r="K34" s="6">
        <f>-8150.68</f>
        <v>-8150.68</v>
      </c>
      <c r="L34" s="6">
        <f>-6897.81</f>
        <v>-6897.81</v>
      </c>
      <c r="M34" s="5"/>
      <c r="N34" s="6">
        <f t="shared" si="0"/>
        <v>-63522.84</v>
      </c>
    </row>
    <row r="35" spans="1:14" x14ac:dyDescent="0.25">
      <c r="A35" s="4" t="s">
        <v>42</v>
      </c>
      <c r="B35" s="7">
        <f t="shared" ref="B35:M35" si="7">((B32)+(B33))+(B34)</f>
        <v>0</v>
      </c>
      <c r="C35" s="7">
        <f t="shared" si="7"/>
        <v>0</v>
      </c>
      <c r="D35" s="7">
        <f t="shared" si="7"/>
        <v>-1814.88</v>
      </c>
      <c r="E35" s="7">
        <f t="shared" si="7"/>
        <v>-19922.02</v>
      </c>
      <c r="F35" s="7">
        <f t="shared" si="7"/>
        <v>-18532.2</v>
      </c>
      <c r="G35" s="7">
        <f t="shared" si="7"/>
        <v>-19923.099999999999</v>
      </c>
      <c r="H35" s="7">
        <f t="shared" si="7"/>
        <v>-19835.54</v>
      </c>
      <c r="I35" s="7">
        <f t="shared" si="7"/>
        <v>-19221.39</v>
      </c>
      <c r="J35" s="7">
        <f t="shared" si="7"/>
        <v>-19325.91</v>
      </c>
      <c r="K35" s="7">
        <f t="shared" si="7"/>
        <v>-20449.650000000001</v>
      </c>
      <c r="L35" s="7">
        <f t="shared" si="7"/>
        <v>-16968.72</v>
      </c>
      <c r="M35" s="7">
        <f t="shared" si="7"/>
        <v>0</v>
      </c>
      <c r="N35" s="7">
        <f t="shared" si="0"/>
        <v>-155993.41</v>
      </c>
    </row>
    <row r="36" spans="1:14" x14ac:dyDescent="0.25">
      <c r="A36" s="4" t="s">
        <v>43</v>
      </c>
      <c r="B36" s="5"/>
      <c r="C36" s="5"/>
      <c r="D36" s="6">
        <f>941.45</f>
        <v>941.45</v>
      </c>
      <c r="E36" s="6">
        <f>10912.93</f>
        <v>10912.93</v>
      </c>
      <c r="F36" s="6">
        <f>9959.34</f>
        <v>9959.34</v>
      </c>
      <c r="G36" s="6">
        <f>11124.96</f>
        <v>11124.96</v>
      </c>
      <c r="H36" s="6">
        <f>10642.26</f>
        <v>10642.26</v>
      </c>
      <c r="I36" s="6">
        <f>10387.68</f>
        <v>10387.68</v>
      </c>
      <c r="J36" s="6">
        <f>10423.93</f>
        <v>10423.93</v>
      </c>
      <c r="K36" s="6">
        <f>11296.78</f>
        <v>11296.78</v>
      </c>
      <c r="L36" s="6">
        <f>9378.11</f>
        <v>9378.11</v>
      </c>
      <c r="M36" s="5"/>
      <c r="N36" s="6">
        <f t="shared" si="0"/>
        <v>85067.44</v>
      </c>
    </row>
    <row r="37" spans="1:14" x14ac:dyDescent="0.25">
      <c r="A37" s="4" t="s">
        <v>44</v>
      </c>
      <c r="B37" s="6">
        <f>17202.51</f>
        <v>17202.509999999998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>
        <f t="shared" si="0"/>
        <v>17202.509999999998</v>
      </c>
    </row>
    <row r="38" spans="1:14" x14ac:dyDescent="0.25">
      <c r="A38" s="4" t="s">
        <v>45</v>
      </c>
      <c r="B38" s="5"/>
      <c r="C38" s="5"/>
      <c r="D38" s="6">
        <f>3558.01</f>
        <v>3558.01</v>
      </c>
      <c r="E38" s="5"/>
      <c r="F38" s="5"/>
      <c r="G38" s="5"/>
      <c r="H38" s="5"/>
      <c r="I38" s="5"/>
      <c r="J38" s="5"/>
      <c r="K38" s="5"/>
      <c r="L38" s="5"/>
      <c r="M38" s="5"/>
      <c r="N38" s="6">
        <f t="shared" si="0"/>
        <v>3558.01</v>
      </c>
    </row>
    <row r="39" spans="1:14" x14ac:dyDescent="0.25">
      <c r="A39" s="4" t="s">
        <v>46</v>
      </c>
      <c r="B39" s="5"/>
      <c r="C39" s="5"/>
      <c r="D39" s="5"/>
      <c r="E39" s="6">
        <f>36443.97</f>
        <v>36443.97</v>
      </c>
      <c r="F39" s="6">
        <f>556.88</f>
        <v>556.88</v>
      </c>
      <c r="G39" s="6">
        <f>317.82</f>
        <v>317.82</v>
      </c>
      <c r="H39" s="5"/>
      <c r="I39" s="5"/>
      <c r="J39" s="5"/>
      <c r="K39" s="5"/>
      <c r="L39" s="5"/>
      <c r="M39" s="5"/>
      <c r="N39" s="6">
        <f t="shared" si="0"/>
        <v>37318.67</v>
      </c>
    </row>
    <row r="40" spans="1:14" x14ac:dyDescent="0.25">
      <c r="A40" s="4" t="s">
        <v>47</v>
      </c>
      <c r="B40" s="7">
        <f t="shared" ref="B40:M40" si="8">(((((((((((B10)+(B14))+(B18))+(B22))+(B26))+(B30))+(B31))+(B35))+(B36))+(B37))+(B38))+(B39)</f>
        <v>103288.95999999999</v>
      </c>
      <c r="C40" s="7">
        <f t="shared" si="8"/>
        <v>50603.62</v>
      </c>
      <c r="D40" s="7">
        <f t="shared" si="8"/>
        <v>55640.08</v>
      </c>
      <c r="E40" s="7">
        <f t="shared" si="8"/>
        <v>73196.66</v>
      </c>
      <c r="F40" s="7">
        <f t="shared" si="8"/>
        <v>26613.400000000005</v>
      </c>
      <c r="G40" s="7">
        <f t="shared" si="8"/>
        <v>20653.25</v>
      </c>
      <c r="H40" s="7">
        <f t="shared" si="8"/>
        <v>25058.770000000004</v>
      </c>
      <c r="I40" s="7">
        <f t="shared" si="8"/>
        <v>28673.280000000006</v>
      </c>
      <c r="J40" s="7">
        <f t="shared" si="8"/>
        <v>22064.1</v>
      </c>
      <c r="K40" s="7">
        <f t="shared" si="8"/>
        <v>27701.159999999989</v>
      </c>
      <c r="L40" s="7">
        <f t="shared" si="8"/>
        <v>21680.32</v>
      </c>
      <c r="M40" s="7">
        <f t="shared" si="8"/>
        <v>0</v>
      </c>
      <c r="N40" s="7">
        <f t="shared" si="0"/>
        <v>455173.6</v>
      </c>
    </row>
    <row r="41" spans="1:14" x14ac:dyDescent="0.25">
      <c r="A41" s="4" t="s">
        <v>48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4" t="s">
        <v>49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>
        <f t="shared" ref="N42:N60" si="9">(((((((((((B42)+(C42))+(D42))+(E42))+(F42))+(G42))+(H42))+(I42))+(J42))+(K42))+(L42))+(M42)</f>
        <v>0</v>
      </c>
    </row>
    <row r="43" spans="1:14" x14ac:dyDescent="0.25">
      <c r="A43" s="4" t="s">
        <v>50</v>
      </c>
      <c r="B43" s="6">
        <f>14119.8</f>
        <v>14119.8</v>
      </c>
      <c r="C43" s="6">
        <f>39930.39</f>
        <v>39930.39</v>
      </c>
      <c r="D43" s="5"/>
      <c r="E43" s="6">
        <f>19959.42</f>
        <v>19959.419999999998</v>
      </c>
      <c r="F43" s="5"/>
      <c r="G43" s="6">
        <f>33584.92</f>
        <v>33584.92</v>
      </c>
      <c r="H43" s="5"/>
      <c r="I43" s="6">
        <f>13811.82</f>
        <v>13811.82</v>
      </c>
      <c r="J43" s="5"/>
      <c r="K43" s="6">
        <f>61344.8</f>
        <v>61344.800000000003</v>
      </c>
      <c r="L43" s="5"/>
      <c r="M43" s="5"/>
      <c r="N43" s="6">
        <f t="shared" si="9"/>
        <v>182751.15000000002</v>
      </c>
    </row>
    <row r="44" spans="1:14" x14ac:dyDescent="0.25">
      <c r="A44" s="4" t="s">
        <v>51</v>
      </c>
      <c r="B44" s="6">
        <f>9413.2</f>
        <v>9413.2000000000007</v>
      </c>
      <c r="C44" s="6">
        <f>39930.37</f>
        <v>39930.370000000003</v>
      </c>
      <c r="D44" s="5"/>
      <c r="E44" s="6">
        <f>13306.28</f>
        <v>13306.28</v>
      </c>
      <c r="F44" s="5"/>
      <c r="G44" s="6">
        <f>22389.96</f>
        <v>22389.96</v>
      </c>
      <c r="H44" s="5"/>
      <c r="I44" s="6">
        <f>9207.88</f>
        <v>9207.8799999999992</v>
      </c>
      <c r="J44" s="5"/>
      <c r="K44" s="6">
        <f>40896.54</f>
        <v>40896.54</v>
      </c>
      <c r="L44" s="5"/>
      <c r="M44" s="5"/>
      <c r="N44" s="6">
        <f t="shared" si="9"/>
        <v>135144.23000000001</v>
      </c>
    </row>
    <row r="45" spans="1:14" x14ac:dyDescent="0.25">
      <c r="A45" s="4" t="s">
        <v>52</v>
      </c>
      <c r="B45" s="7">
        <f t="shared" ref="B45:M45" si="10">((B42)+(B43))+(B44)</f>
        <v>23533</v>
      </c>
      <c r="C45" s="7">
        <f t="shared" si="10"/>
        <v>79860.760000000009</v>
      </c>
      <c r="D45" s="7">
        <f t="shared" si="10"/>
        <v>0</v>
      </c>
      <c r="E45" s="7">
        <f t="shared" si="10"/>
        <v>33265.699999999997</v>
      </c>
      <c r="F45" s="7">
        <f t="shared" si="10"/>
        <v>0</v>
      </c>
      <c r="G45" s="7">
        <f t="shared" si="10"/>
        <v>55974.879999999997</v>
      </c>
      <c r="H45" s="7">
        <f t="shared" si="10"/>
        <v>0</v>
      </c>
      <c r="I45" s="7">
        <f t="shared" si="10"/>
        <v>23019.699999999997</v>
      </c>
      <c r="J45" s="7">
        <f t="shared" si="10"/>
        <v>0</v>
      </c>
      <c r="K45" s="7">
        <f t="shared" si="10"/>
        <v>102241.34</v>
      </c>
      <c r="L45" s="7">
        <f t="shared" si="10"/>
        <v>0</v>
      </c>
      <c r="M45" s="7">
        <f t="shared" si="10"/>
        <v>0</v>
      </c>
      <c r="N45" s="7">
        <f t="shared" si="9"/>
        <v>317895.38</v>
      </c>
    </row>
    <row r="46" spans="1:14" x14ac:dyDescent="0.25">
      <c r="A46" s="4" t="s">
        <v>53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6">
        <f t="shared" si="9"/>
        <v>0</v>
      </c>
    </row>
    <row r="47" spans="1:14" x14ac:dyDescent="0.25">
      <c r="A47" s="4" t="s">
        <v>54</v>
      </c>
      <c r="B47" s="6">
        <f>1416.07</f>
        <v>1416.07</v>
      </c>
      <c r="C47" s="6">
        <f>1373.5</f>
        <v>1373.5</v>
      </c>
      <c r="D47" s="6">
        <f>1057.4</f>
        <v>1057.4000000000001</v>
      </c>
      <c r="E47" s="6">
        <f>1089.01</f>
        <v>1089.01</v>
      </c>
      <c r="F47" s="6">
        <f>1099.53</f>
        <v>1099.53</v>
      </c>
      <c r="G47" s="6">
        <f>1250.45</f>
        <v>1250.45</v>
      </c>
      <c r="H47" s="6">
        <f>1364.68</f>
        <v>1364.68</v>
      </c>
      <c r="I47" s="6">
        <f>1375.07</f>
        <v>1375.07</v>
      </c>
      <c r="J47" s="6">
        <f>1484.11</f>
        <v>1484.11</v>
      </c>
      <c r="K47" s="6">
        <f>1511.48</f>
        <v>1511.48</v>
      </c>
      <c r="L47" s="5"/>
      <c r="M47" s="5"/>
      <c r="N47" s="6">
        <f t="shared" si="9"/>
        <v>13021.3</v>
      </c>
    </row>
    <row r="48" spans="1:14" x14ac:dyDescent="0.25">
      <c r="A48" s="4" t="s">
        <v>55</v>
      </c>
      <c r="B48" s="6">
        <f>1155.82</f>
        <v>1155.82</v>
      </c>
      <c r="C48" s="6">
        <f>1108.28</f>
        <v>1108.28</v>
      </c>
      <c r="D48" s="6">
        <f>1052.66</f>
        <v>1052.6600000000001</v>
      </c>
      <c r="E48" s="6">
        <f>1062.37</f>
        <v>1062.3699999999999</v>
      </c>
      <c r="F48" s="6">
        <f>1075.21</f>
        <v>1075.21</v>
      </c>
      <c r="G48" s="6">
        <f>2242</f>
        <v>2242</v>
      </c>
      <c r="H48" s="6">
        <f>1073.03</f>
        <v>1073.03</v>
      </c>
      <c r="I48" s="6">
        <f>1005.62</f>
        <v>1005.62</v>
      </c>
      <c r="J48" s="6">
        <f>1080.6</f>
        <v>1080.5999999999999</v>
      </c>
      <c r="K48" s="6">
        <f>1057.89</f>
        <v>1057.8900000000001</v>
      </c>
      <c r="L48" s="5"/>
      <c r="M48" s="5"/>
      <c r="N48" s="6">
        <f t="shared" si="9"/>
        <v>11913.480000000001</v>
      </c>
    </row>
    <row r="49" spans="1:14" x14ac:dyDescent="0.25">
      <c r="A49" s="4" t="s">
        <v>56</v>
      </c>
      <c r="B49" s="7">
        <f t="shared" ref="B49:M49" si="11">((B46)+(B47))+(B48)</f>
        <v>2571.89</v>
      </c>
      <c r="C49" s="7">
        <f t="shared" si="11"/>
        <v>2481.7799999999997</v>
      </c>
      <c r="D49" s="7">
        <f t="shared" si="11"/>
        <v>2110.0600000000004</v>
      </c>
      <c r="E49" s="7">
        <f t="shared" si="11"/>
        <v>2151.38</v>
      </c>
      <c r="F49" s="7">
        <f t="shared" si="11"/>
        <v>2174.7399999999998</v>
      </c>
      <c r="G49" s="7">
        <f t="shared" si="11"/>
        <v>3492.45</v>
      </c>
      <c r="H49" s="7">
        <f t="shared" si="11"/>
        <v>2437.71</v>
      </c>
      <c r="I49" s="7">
        <f t="shared" si="11"/>
        <v>2380.69</v>
      </c>
      <c r="J49" s="7">
        <f t="shared" si="11"/>
        <v>2564.71</v>
      </c>
      <c r="K49" s="7">
        <f t="shared" si="11"/>
        <v>2569.37</v>
      </c>
      <c r="L49" s="7">
        <f t="shared" si="11"/>
        <v>0</v>
      </c>
      <c r="M49" s="7">
        <f t="shared" si="11"/>
        <v>0</v>
      </c>
      <c r="N49" s="7">
        <f t="shared" si="9"/>
        <v>24934.779999999995</v>
      </c>
    </row>
    <row r="50" spans="1:14" x14ac:dyDescent="0.25">
      <c r="A50" s="4" t="s">
        <v>57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>
        <f t="shared" si="9"/>
        <v>0</v>
      </c>
    </row>
    <row r="51" spans="1:14" x14ac:dyDescent="0.25">
      <c r="A51" s="4" t="s">
        <v>58</v>
      </c>
      <c r="B51" s="5"/>
      <c r="C51" s="5"/>
      <c r="D51" s="6">
        <f>2099.09</f>
        <v>2099.09</v>
      </c>
      <c r="E51" s="5"/>
      <c r="F51" s="5"/>
      <c r="G51" s="5"/>
      <c r="H51" s="5"/>
      <c r="I51" s="5"/>
      <c r="J51" s="5"/>
      <c r="K51" s="5"/>
      <c r="L51" s="5"/>
      <c r="M51" s="5"/>
      <c r="N51" s="6">
        <f t="shared" si="9"/>
        <v>2099.09</v>
      </c>
    </row>
    <row r="52" spans="1:14" x14ac:dyDescent="0.25">
      <c r="A52" s="4" t="s">
        <v>59</v>
      </c>
      <c r="B52" s="7">
        <f t="shared" ref="B52:M52" si="12">(B50)+(B51)</f>
        <v>0</v>
      </c>
      <c r="C52" s="7">
        <f t="shared" si="12"/>
        <v>0</v>
      </c>
      <c r="D52" s="7">
        <f t="shared" si="12"/>
        <v>2099.09</v>
      </c>
      <c r="E52" s="7">
        <f t="shared" si="12"/>
        <v>0</v>
      </c>
      <c r="F52" s="7">
        <f t="shared" si="12"/>
        <v>0</v>
      </c>
      <c r="G52" s="7">
        <f t="shared" si="12"/>
        <v>0</v>
      </c>
      <c r="H52" s="7">
        <f t="shared" si="12"/>
        <v>0</v>
      </c>
      <c r="I52" s="7">
        <f t="shared" si="12"/>
        <v>0</v>
      </c>
      <c r="J52" s="7">
        <f t="shared" si="12"/>
        <v>0</v>
      </c>
      <c r="K52" s="7">
        <f t="shared" si="12"/>
        <v>0</v>
      </c>
      <c r="L52" s="7">
        <f t="shared" si="12"/>
        <v>0</v>
      </c>
      <c r="M52" s="7">
        <f t="shared" si="12"/>
        <v>0</v>
      </c>
      <c r="N52" s="7">
        <f t="shared" si="9"/>
        <v>2099.09</v>
      </c>
    </row>
    <row r="53" spans="1:14" x14ac:dyDescent="0.25">
      <c r="A53" s="4" t="s">
        <v>60</v>
      </c>
      <c r="B53" s="6">
        <f>604.44</f>
        <v>604.44000000000005</v>
      </c>
      <c r="C53" s="6">
        <f>822.21</f>
        <v>822.21</v>
      </c>
      <c r="D53" s="6">
        <f>607.96</f>
        <v>607.96</v>
      </c>
      <c r="E53" s="6">
        <f>645.07</f>
        <v>645.07000000000005</v>
      </c>
      <c r="F53" s="6">
        <f>659.63</f>
        <v>659.63</v>
      </c>
      <c r="G53" s="6">
        <f>664.52</f>
        <v>664.52</v>
      </c>
      <c r="H53" s="6">
        <f>743.24</f>
        <v>743.24</v>
      </c>
      <c r="I53" s="6">
        <f>706.36</f>
        <v>706.36</v>
      </c>
      <c r="J53" s="6">
        <f>857.97</f>
        <v>857.97</v>
      </c>
      <c r="K53" s="5"/>
      <c r="L53" s="6">
        <f>746.53</f>
        <v>746.53</v>
      </c>
      <c r="M53" s="5"/>
      <c r="N53" s="6">
        <f t="shared" si="9"/>
        <v>7057.93</v>
      </c>
    </row>
    <row r="54" spans="1:14" x14ac:dyDescent="0.25">
      <c r="A54" s="4" t="s">
        <v>61</v>
      </c>
      <c r="B54" s="6">
        <f>1348.24</f>
        <v>1348.24</v>
      </c>
      <c r="C54" s="6">
        <f>663.69</f>
        <v>663.69</v>
      </c>
      <c r="D54" s="6">
        <f>662.68</f>
        <v>662.68</v>
      </c>
      <c r="E54" s="5"/>
      <c r="F54" s="6">
        <f>1325.36</f>
        <v>1325.36</v>
      </c>
      <c r="G54" s="6">
        <f>662.68</f>
        <v>662.68</v>
      </c>
      <c r="H54" s="6">
        <f>662.68</f>
        <v>662.68</v>
      </c>
      <c r="I54" s="6">
        <f>658.2</f>
        <v>658.2</v>
      </c>
      <c r="J54" s="6">
        <f>649.63</f>
        <v>649.63</v>
      </c>
      <c r="K54" s="6">
        <f>649.63</f>
        <v>649.63</v>
      </c>
      <c r="L54" s="5"/>
      <c r="M54" s="5"/>
      <c r="N54" s="6">
        <f t="shared" si="9"/>
        <v>7282.7900000000009</v>
      </c>
    </row>
    <row r="55" spans="1:14" x14ac:dyDescent="0.25">
      <c r="A55" s="4" t="s">
        <v>62</v>
      </c>
      <c r="B55" s="7">
        <f t="shared" ref="B55:M55" si="13">(B53)+(B54)</f>
        <v>1952.68</v>
      </c>
      <c r="C55" s="7">
        <f t="shared" si="13"/>
        <v>1485.9</v>
      </c>
      <c r="D55" s="7">
        <f t="shared" si="13"/>
        <v>1270.6399999999999</v>
      </c>
      <c r="E55" s="7">
        <f t="shared" si="13"/>
        <v>645.07000000000005</v>
      </c>
      <c r="F55" s="7">
        <f t="shared" si="13"/>
        <v>1984.9899999999998</v>
      </c>
      <c r="G55" s="7">
        <f t="shared" si="13"/>
        <v>1327.1999999999998</v>
      </c>
      <c r="H55" s="7">
        <f t="shared" si="13"/>
        <v>1405.92</v>
      </c>
      <c r="I55" s="7">
        <f t="shared" si="13"/>
        <v>1364.56</v>
      </c>
      <c r="J55" s="7">
        <f t="shared" si="13"/>
        <v>1507.6</v>
      </c>
      <c r="K55" s="7">
        <f t="shared" si="13"/>
        <v>649.63</v>
      </c>
      <c r="L55" s="7">
        <f t="shared" si="13"/>
        <v>746.53</v>
      </c>
      <c r="M55" s="7">
        <f t="shared" si="13"/>
        <v>0</v>
      </c>
      <c r="N55" s="7">
        <f t="shared" si="9"/>
        <v>14340.72</v>
      </c>
    </row>
    <row r="56" spans="1:14" x14ac:dyDescent="0.25">
      <c r="A56" s="4" t="s">
        <v>63</v>
      </c>
      <c r="B56" s="5"/>
      <c r="C56" s="5"/>
      <c r="D56" s="6">
        <f>849.75</f>
        <v>849.75</v>
      </c>
      <c r="E56" s="5"/>
      <c r="F56" s="5"/>
      <c r="G56" s="5"/>
      <c r="H56" s="5"/>
      <c r="I56" s="5"/>
      <c r="J56" s="5"/>
      <c r="K56" s="5"/>
      <c r="L56" s="5"/>
      <c r="M56" s="5"/>
      <c r="N56" s="6">
        <f t="shared" si="9"/>
        <v>849.75</v>
      </c>
    </row>
    <row r="57" spans="1:14" x14ac:dyDescent="0.25">
      <c r="A57" s="4" t="s">
        <v>64</v>
      </c>
      <c r="B57" s="5"/>
      <c r="C57" s="6">
        <f>207</f>
        <v>207</v>
      </c>
      <c r="D57" s="5"/>
      <c r="E57" s="6">
        <f>582</f>
        <v>582</v>
      </c>
      <c r="F57" s="6">
        <f>419</f>
        <v>419</v>
      </c>
      <c r="G57" s="5"/>
      <c r="H57" s="5"/>
      <c r="I57" s="5"/>
      <c r="J57" s="5"/>
      <c r="K57" s="6">
        <f>357</f>
        <v>357</v>
      </c>
      <c r="L57" s="5"/>
      <c r="M57" s="5"/>
      <c r="N57" s="6">
        <f t="shared" si="9"/>
        <v>1565</v>
      </c>
    </row>
    <row r="58" spans="1:14" x14ac:dyDescent="0.25">
      <c r="A58" s="4" t="s">
        <v>65</v>
      </c>
      <c r="B58" s="7">
        <f t="shared" ref="B58:M58" si="14">(B56)+(B57)</f>
        <v>0</v>
      </c>
      <c r="C58" s="7">
        <f t="shared" si="14"/>
        <v>207</v>
      </c>
      <c r="D58" s="7">
        <f t="shared" si="14"/>
        <v>849.75</v>
      </c>
      <c r="E58" s="7">
        <f t="shared" si="14"/>
        <v>582</v>
      </c>
      <c r="F58" s="7">
        <f t="shared" si="14"/>
        <v>419</v>
      </c>
      <c r="G58" s="7">
        <f t="shared" si="14"/>
        <v>0</v>
      </c>
      <c r="H58" s="7">
        <f t="shared" si="14"/>
        <v>0</v>
      </c>
      <c r="I58" s="7">
        <f t="shared" si="14"/>
        <v>0</v>
      </c>
      <c r="J58" s="7">
        <f t="shared" si="14"/>
        <v>0</v>
      </c>
      <c r="K58" s="7">
        <f t="shared" si="14"/>
        <v>357</v>
      </c>
      <c r="L58" s="7">
        <f t="shared" si="14"/>
        <v>0</v>
      </c>
      <c r="M58" s="7">
        <f t="shared" si="14"/>
        <v>0</v>
      </c>
      <c r="N58" s="7">
        <f t="shared" si="9"/>
        <v>2414.75</v>
      </c>
    </row>
    <row r="59" spans="1:14" x14ac:dyDescent="0.25">
      <c r="A59" s="4" t="s">
        <v>66</v>
      </c>
      <c r="B59" s="7">
        <f t="shared" ref="B59:M59" si="15">((((B45)+(B49))+(B52))+(B55))+(B58)</f>
        <v>28057.57</v>
      </c>
      <c r="C59" s="7">
        <f t="shared" si="15"/>
        <v>84035.44</v>
      </c>
      <c r="D59" s="7">
        <f t="shared" si="15"/>
        <v>6329.5400000000009</v>
      </c>
      <c r="E59" s="7">
        <f t="shared" si="15"/>
        <v>36644.149999999994</v>
      </c>
      <c r="F59" s="7">
        <f t="shared" si="15"/>
        <v>4578.7299999999996</v>
      </c>
      <c r="G59" s="7">
        <f t="shared" si="15"/>
        <v>60794.529999999992</v>
      </c>
      <c r="H59" s="7">
        <f t="shared" si="15"/>
        <v>3843.63</v>
      </c>
      <c r="I59" s="7">
        <f t="shared" si="15"/>
        <v>26764.949999999997</v>
      </c>
      <c r="J59" s="7">
        <f t="shared" si="15"/>
        <v>4072.31</v>
      </c>
      <c r="K59" s="7">
        <f t="shared" si="15"/>
        <v>105817.34</v>
      </c>
      <c r="L59" s="7">
        <f t="shared" si="15"/>
        <v>746.53</v>
      </c>
      <c r="M59" s="7">
        <f t="shared" si="15"/>
        <v>0</v>
      </c>
      <c r="N59" s="7">
        <f t="shared" si="9"/>
        <v>361684.72000000009</v>
      </c>
    </row>
    <row r="60" spans="1:14" x14ac:dyDescent="0.25">
      <c r="A60" s="4" t="s">
        <v>67</v>
      </c>
      <c r="B60" s="7">
        <f t="shared" ref="B60:M60" si="16">(B40)-(B59)</f>
        <v>75231.389999999985</v>
      </c>
      <c r="C60" s="7">
        <f t="shared" si="16"/>
        <v>-33431.82</v>
      </c>
      <c r="D60" s="7">
        <f t="shared" si="16"/>
        <v>49310.54</v>
      </c>
      <c r="E60" s="7">
        <f t="shared" si="16"/>
        <v>36552.510000000009</v>
      </c>
      <c r="F60" s="7">
        <f t="shared" si="16"/>
        <v>22034.670000000006</v>
      </c>
      <c r="G60" s="7">
        <f t="shared" si="16"/>
        <v>-40141.279999999992</v>
      </c>
      <c r="H60" s="7">
        <f t="shared" si="16"/>
        <v>21215.140000000003</v>
      </c>
      <c r="I60" s="7">
        <f t="shared" si="16"/>
        <v>1908.330000000009</v>
      </c>
      <c r="J60" s="7">
        <f t="shared" si="16"/>
        <v>17991.789999999997</v>
      </c>
      <c r="K60" s="7">
        <f t="shared" si="16"/>
        <v>-78116.180000000008</v>
      </c>
      <c r="L60" s="7">
        <f t="shared" si="16"/>
        <v>20933.79</v>
      </c>
      <c r="M60" s="7">
        <f t="shared" si="16"/>
        <v>0</v>
      </c>
      <c r="N60" s="7">
        <f t="shared" si="9"/>
        <v>93488.88</v>
      </c>
    </row>
    <row r="61" spans="1:14" x14ac:dyDescent="0.25">
      <c r="A61" s="4" t="s">
        <v>68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4" t="s">
        <v>69</v>
      </c>
      <c r="B62" s="6">
        <f>48.24</f>
        <v>48.24</v>
      </c>
      <c r="C62" s="6">
        <f>33.24</f>
        <v>33.24</v>
      </c>
      <c r="D62" s="6">
        <f>41.95</f>
        <v>41.95</v>
      </c>
      <c r="E62" s="6">
        <f>100.75</f>
        <v>100.75</v>
      </c>
      <c r="F62" s="5"/>
      <c r="G62" s="6">
        <f>-35</f>
        <v>-35</v>
      </c>
      <c r="H62" s="5"/>
      <c r="I62" s="5"/>
      <c r="J62" s="5"/>
      <c r="K62" s="5"/>
      <c r="L62" s="5"/>
      <c r="M62" s="5"/>
      <c r="N62" s="6">
        <f t="shared" ref="N62:N93" si="17">(((((((((((B62)+(C62))+(D62))+(E62))+(F62))+(G62))+(H62))+(I62))+(J62))+(K62))+(L62))+(M62)</f>
        <v>189.18</v>
      </c>
    </row>
    <row r="63" spans="1:14" x14ac:dyDescent="0.25">
      <c r="A63" s="4" t="s">
        <v>70</v>
      </c>
      <c r="B63" s="6">
        <f>17.5</f>
        <v>17.5</v>
      </c>
      <c r="C63" s="6">
        <f>25</f>
        <v>25</v>
      </c>
      <c r="D63" s="6">
        <f>17.5</f>
        <v>17.5</v>
      </c>
      <c r="E63" s="6">
        <f>1962.6</f>
        <v>1962.6</v>
      </c>
      <c r="F63" s="6">
        <f t="shared" ref="F63:H64" si="18">17.5</f>
        <v>17.5</v>
      </c>
      <c r="G63" s="6">
        <f t="shared" si="18"/>
        <v>17.5</v>
      </c>
      <c r="H63" s="6">
        <f t="shared" si="18"/>
        <v>17.5</v>
      </c>
      <c r="I63" s="6">
        <f>27.77</f>
        <v>27.77</v>
      </c>
      <c r="J63" s="6">
        <f>54.06</f>
        <v>54.06</v>
      </c>
      <c r="K63" s="6">
        <f>38.63</f>
        <v>38.630000000000003</v>
      </c>
      <c r="L63" s="6">
        <f>62.58</f>
        <v>62.58</v>
      </c>
      <c r="M63" s="5"/>
      <c r="N63" s="6">
        <f t="shared" si="17"/>
        <v>2258.14</v>
      </c>
    </row>
    <row r="64" spans="1:14" x14ac:dyDescent="0.25">
      <c r="A64" s="4" t="s">
        <v>71</v>
      </c>
      <c r="B64" s="6">
        <f>17.5</f>
        <v>17.5</v>
      </c>
      <c r="C64" s="6">
        <f>25</f>
        <v>25</v>
      </c>
      <c r="D64" s="6">
        <f>17.5</f>
        <v>17.5</v>
      </c>
      <c r="E64" s="6">
        <f>1962.58</f>
        <v>1962.58</v>
      </c>
      <c r="F64" s="6">
        <f t="shared" si="18"/>
        <v>17.5</v>
      </c>
      <c r="G64" s="6">
        <f t="shared" si="18"/>
        <v>17.5</v>
      </c>
      <c r="H64" s="6">
        <f t="shared" si="18"/>
        <v>17.5</v>
      </c>
      <c r="I64" s="6">
        <f>27.77</f>
        <v>27.77</v>
      </c>
      <c r="J64" s="6">
        <f>47.4</f>
        <v>47.4</v>
      </c>
      <c r="K64" s="6">
        <f>38.63</f>
        <v>38.630000000000003</v>
      </c>
      <c r="L64" s="6">
        <f>55.58</f>
        <v>55.58</v>
      </c>
      <c r="M64" s="5"/>
      <c r="N64" s="6">
        <f t="shared" si="17"/>
        <v>2244.46</v>
      </c>
    </row>
    <row r="65" spans="1:14" x14ac:dyDescent="0.25">
      <c r="A65" s="4" t="s">
        <v>72</v>
      </c>
      <c r="B65" s="7">
        <f t="shared" ref="B65:M65" si="19">((B62)+(B63))+(B64)</f>
        <v>83.240000000000009</v>
      </c>
      <c r="C65" s="7">
        <f t="shared" si="19"/>
        <v>83.240000000000009</v>
      </c>
      <c r="D65" s="7">
        <f t="shared" si="19"/>
        <v>76.95</v>
      </c>
      <c r="E65" s="7">
        <f t="shared" si="19"/>
        <v>4025.93</v>
      </c>
      <c r="F65" s="7">
        <f t="shared" si="19"/>
        <v>35</v>
      </c>
      <c r="G65" s="7">
        <f t="shared" si="19"/>
        <v>0</v>
      </c>
      <c r="H65" s="7">
        <f t="shared" si="19"/>
        <v>35</v>
      </c>
      <c r="I65" s="7">
        <f t="shared" si="19"/>
        <v>55.54</v>
      </c>
      <c r="J65" s="7">
        <f t="shared" si="19"/>
        <v>101.46000000000001</v>
      </c>
      <c r="K65" s="7">
        <f t="shared" si="19"/>
        <v>77.260000000000005</v>
      </c>
      <c r="L65" s="7">
        <f t="shared" si="19"/>
        <v>118.16</v>
      </c>
      <c r="M65" s="7">
        <f t="shared" si="19"/>
        <v>0</v>
      </c>
      <c r="N65" s="7">
        <f t="shared" si="17"/>
        <v>4691.78</v>
      </c>
    </row>
    <row r="66" spans="1:14" x14ac:dyDescent="0.25">
      <c r="A66" s="4" t="s">
        <v>73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>
        <f t="shared" si="17"/>
        <v>0</v>
      </c>
    </row>
    <row r="67" spans="1:14" x14ac:dyDescent="0.25">
      <c r="A67" s="4" t="s">
        <v>74</v>
      </c>
      <c r="B67" s="6">
        <f>720</f>
        <v>720</v>
      </c>
      <c r="C67" s="5"/>
      <c r="D67" s="6">
        <f>450</f>
        <v>450</v>
      </c>
      <c r="E67" s="6">
        <f>450</f>
        <v>450</v>
      </c>
      <c r="F67" s="6">
        <f>950</f>
        <v>950</v>
      </c>
      <c r="G67" s="6">
        <f>6600</f>
        <v>6600</v>
      </c>
      <c r="H67" s="6">
        <f>4590</f>
        <v>4590</v>
      </c>
      <c r="I67" s="5"/>
      <c r="J67" s="5"/>
      <c r="K67" s="5"/>
      <c r="L67" s="5"/>
      <c r="M67" s="5"/>
      <c r="N67" s="6">
        <f t="shared" si="17"/>
        <v>13760</v>
      </c>
    </row>
    <row r="68" spans="1:14" x14ac:dyDescent="0.25">
      <c r="A68" s="4" t="s">
        <v>75</v>
      </c>
      <c r="B68" s="6">
        <f>480</f>
        <v>480</v>
      </c>
      <c r="C68" s="5"/>
      <c r="D68" s="6">
        <f>450</f>
        <v>450</v>
      </c>
      <c r="E68" s="6">
        <f>450</f>
        <v>450</v>
      </c>
      <c r="F68" s="6">
        <f>950</f>
        <v>950</v>
      </c>
      <c r="G68" s="6">
        <f>4400</f>
        <v>4400</v>
      </c>
      <c r="H68" s="6">
        <f>3210</f>
        <v>3210</v>
      </c>
      <c r="I68" s="5"/>
      <c r="J68" s="5"/>
      <c r="K68" s="5"/>
      <c r="L68" s="5"/>
      <c r="M68" s="5"/>
      <c r="N68" s="6">
        <f t="shared" si="17"/>
        <v>9940</v>
      </c>
    </row>
    <row r="69" spans="1:14" x14ac:dyDescent="0.25">
      <c r="A69" s="4" t="s">
        <v>76</v>
      </c>
      <c r="B69" s="7">
        <f t="shared" ref="B69:M69" si="20">((B66)+(B67))+(B68)</f>
        <v>1200</v>
      </c>
      <c r="C69" s="7">
        <f t="shared" si="20"/>
        <v>0</v>
      </c>
      <c r="D69" s="7">
        <f t="shared" si="20"/>
        <v>900</v>
      </c>
      <c r="E69" s="7">
        <f t="shared" si="20"/>
        <v>900</v>
      </c>
      <c r="F69" s="7">
        <f t="shared" si="20"/>
        <v>1900</v>
      </c>
      <c r="G69" s="7">
        <f t="shared" si="20"/>
        <v>11000</v>
      </c>
      <c r="H69" s="7">
        <f t="shared" si="20"/>
        <v>7800</v>
      </c>
      <c r="I69" s="7">
        <f t="shared" si="20"/>
        <v>0</v>
      </c>
      <c r="J69" s="7">
        <f t="shared" si="20"/>
        <v>0</v>
      </c>
      <c r="K69" s="7">
        <f t="shared" si="20"/>
        <v>0</v>
      </c>
      <c r="L69" s="7">
        <f t="shared" si="20"/>
        <v>0</v>
      </c>
      <c r="M69" s="7">
        <f t="shared" si="20"/>
        <v>0</v>
      </c>
      <c r="N69" s="7">
        <f t="shared" si="17"/>
        <v>23700</v>
      </c>
    </row>
    <row r="70" spans="1:14" x14ac:dyDescent="0.25">
      <c r="A70" s="4" t="s">
        <v>77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>
        <f t="shared" si="17"/>
        <v>0</v>
      </c>
    </row>
    <row r="71" spans="1:14" x14ac:dyDescent="0.25">
      <c r="A71" s="4" t="s">
        <v>78</v>
      </c>
      <c r="B71" s="6">
        <f>1102.5</f>
        <v>1102.5</v>
      </c>
      <c r="C71" s="5"/>
      <c r="D71" s="6">
        <f>4539.75</f>
        <v>4539.75</v>
      </c>
      <c r="E71" s="6">
        <f>1609.03</f>
        <v>1609.03</v>
      </c>
      <c r="F71" s="6">
        <f>2146.63</f>
        <v>2146.63</v>
      </c>
      <c r="G71" s="6">
        <f>1642.33</f>
        <v>1642.33</v>
      </c>
      <c r="H71" s="5"/>
      <c r="I71" s="6">
        <f>3607.65</f>
        <v>3607.65</v>
      </c>
      <c r="J71" s="5"/>
      <c r="K71" s="6">
        <f>3569.29</f>
        <v>3569.29</v>
      </c>
      <c r="L71" s="5"/>
      <c r="M71" s="5"/>
      <c r="N71" s="6">
        <f t="shared" si="17"/>
        <v>18217.18</v>
      </c>
    </row>
    <row r="72" spans="1:14" x14ac:dyDescent="0.25">
      <c r="A72" s="4" t="s">
        <v>79</v>
      </c>
      <c r="B72" s="6">
        <f>735</f>
        <v>735</v>
      </c>
      <c r="C72" s="5"/>
      <c r="D72" s="6">
        <f>3026.51</f>
        <v>3026.51</v>
      </c>
      <c r="E72" s="6">
        <f>1072.69</f>
        <v>1072.69</v>
      </c>
      <c r="F72" s="6">
        <f>1431.09</f>
        <v>1431.09</v>
      </c>
      <c r="G72" s="6">
        <f>1094.89</f>
        <v>1094.8900000000001</v>
      </c>
      <c r="H72" s="5"/>
      <c r="I72" s="6">
        <f>2405.11</f>
        <v>2405.11</v>
      </c>
      <c r="J72" s="5"/>
      <c r="K72" s="6">
        <f>2379.52</f>
        <v>2379.52</v>
      </c>
      <c r="L72" s="5"/>
      <c r="M72" s="5"/>
      <c r="N72" s="6">
        <f t="shared" si="17"/>
        <v>12144.810000000001</v>
      </c>
    </row>
    <row r="73" spans="1:14" x14ac:dyDescent="0.25">
      <c r="A73" s="4" t="s">
        <v>80</v>
      </c>
      <c r="B73" s="7">
        <f t="shared" ref="B73:M73" si="21">((B70)+(B71))+(B72)</f>
        <v>1837.5</v>
      </c>
      <c r="C73" s="7">
        <f t="shared" si="21"/>
        <v>0</v>
      </c>
      <c r="D73" s="7">
        <f t="shared" si="21"/>
        <v>7566.26</v>
      </c>
      <c r="E73" s="7">
        <f t="shared" si="21"/>
        <v>2681.7200000000003</v>
      </c>
      <c r="F73" s="7">
        <f t="shared" si="21"/>
        <v>3577.7200000000003</v>
      </c>
      <c r="G73" s="7">
        <f t="shared" si="21"/>
        <v>2737.2200000000003</v>
      </c>
      <c r="H73" s="7">
        <f t="shared" si="21"/>
        <v>0</v>
      </c>
      <c r="I73" s="7">
        <f t="shared" si="21"/>
        <v>6012.76</v>
      </c>
      <c r="J73" s="7">
        <f t="shared" si="21"/>
        <v>0</v>
      </c>
      <c r="K73" s="7">
        <f t="shared" si="21"/>
        <v>5948.8099999999995</v>
      </c>
      <c r="L73" s="7">
        <f t="shared" si="21"/>
        <v>0</v>
      </c>
      <c r="M73" s="7">
        <f t="shared" si="21"/>
        <v>0</v>
      </c>
      <c r="N73" s="7">
        <f t="shared" si="17"/>
        <v>30361.989999999998</v>
      </c>
    </row>
    <row r="74" spans="1:14" x14ac:dyDescent="0.25">
      <c r="A74" s="4" t="s">
        <v>81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>
        <f t="shared" si="17"/>
        <v>0</v>
      </c>
    </row>
    <row r="75" spans="1:14" x14ac:dyDescent="0.25">
      <c r="A75" s="4" t="s">
        <v>82</v>
      </c>
      <c r="B75" s="5"/>
      <c r="C75" s="5"/>
      <c r="D75" s="5"/>
      <c r="E75" s="6">
        <f>6956.63</f>
        <v>6956.63</v>
      </c>
      <c r="F75" s="6">
        <f>10385.75</f>
        <v>10385.75</v>
      </c>
      <c r="G75" s="6">
        <f>7482.4</f>
        <v>7482.4</v>
      </c>
      <c r="H75" s="6">
        <f>13367.5</f>
        <v>13367.5</v>
      </c>
      <c r="I75" s="6">
        <f>14790.6</f>
        <v>14790.6</v>
      </c>
      <c r="J75" s="6">
        <f>6513.23</f>
        <v>6513.23</v>
      </c>
      <c r="K75" s="6">
        <f>5010</f>
        <v>5010</v>
      </c>
      <c r="L75" s="6">
        <f>19100.25</f>
        <v>19100.25</v>
      </c>
      <c r="M75" s="5"/>
      <c r="N75" s="6">
        <f t="shared" si="17"/>
        <v>83606.36</v>
      </c>
    </row>
    <row r="76" spans="1:14" x14ac:dyDescent="0.25">
      <c r="A76" s="4" t="s">
        <v>83</v>
      </c>
      <c r="B76" s="5"/>
      <c r="C76" s="5"/>
      <c r="D76" s="5"/>
      <c r="E76" s="6">
        <f>6875.58</f>
        <v>6875.58</v>
      </c>
      <c r="F76" s="6">
        <f>10385.75</f>
        <v>10385.75</v>
      </c>
      <c r="G76" s="6">
        <f>7482.39</f>
        <v>7482.39</v>
      </c>
      <c r="H76" s="6">
        <f>13367.5</f>
        <v>13367.5</v>
      </c>
      <c r="I76" s="6">
        <f>9860.4</f>
        <v>9860.4</v>
      </c>
      <c r="J76" s="6">
        <f>4342.16</f>
        <v>4342.16</v>
      </c>
      <c r="K76" s="6">
        <f>3340</f>
        <v>3340</v>
      </c>
      <c r="L76" s="6">
        <f>12733.5</f>
        <v>12733.5</v>
      </c>
      <c r="M76" s="5"/>
      <c r="N76" s="6">
        <f t="shared" si="17"/>
        <v>68387.28</v>
      </c>
    </row>
    <row r="77" spans="1:14" x14ac:dyDescent="0.25">
      <c r="A77" s="4" t="s">
        <v>84</v>
      </c>
      <c r="B77" s="7">
        <f t="shared" ref="B77:M77" si="22">((B74)+(B75))+(B76)</f>
        <v>0</v>
      </c>
      <c r="C77" s="7">
        <f t="shared" si="22"/>
        <v>0</v>
      </c>
      <c r="D77" s="7">
        <f t="shared" si="22"/>
        <v>0</v>
      </c>
      <c r="E77" s="7">
        <f t="shared" si="22"/>
        <v>13832.21</v>
      </c>
      <c r="F77" s="7">
        <f t="shared" si="22"/>
        <v>20771.5</v>
      </c>
      <c r="G77" s="7">
        <f t="shared" si="22"/>
        <v>14964.79</v>
      </c>
      <c r="H77" s="7">
        <f t="shared" si="22"/>
        <v>26735</v>
      </c>
      <c r="I77" s="7">
        <f t="shared" si="22"/>
        <v>24651</v>
      </c>
      <c r="J77" s="7">
        <f t="shared" si="22"/>
        <v>10855.39</v>
      </c>
      <c r="K77" s="7">
        <f t="shared" si="22"/>
        <v>8350</v>
      </c>
      <c r="L77" s="7">
        <f t="shared" si="22"/>
        <v>31833.75</v>
      </c>
      <c r="M77" s="7">
        <f t="shared" si="22"/>
        <v>0</v>
      </c>
      <c r="N77" s="7">
        <f t="shared" si="17"/>
        <v>151993.64000000001</v>
      </c>
    </row>
    <row r="78" spans="1:14" x14ac:dyDescent="0.25">
      <c r="A78" s="4" t="s">
        <v>85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>
        <f t="shared" si="17"/>
        <v>0</v>
      </c>
    </row>
    <row r="79" spans="1:14" x14ac:dyDescent="0.25">
      <c r="A79" s="4" t="s">
        <v>86</v>
      </c>
      <c r="B79" s="6">
        <f>662.5</f>
        <v>662.5</v>
      </c>
      <c r="C79" s="5"/>
      <c r="D79" s="6">
        <f>29.32</f>
        <v>29.32</v>
      </c>
      <c r="E79" s="6">
        <f>29.32</f>
        <v>29.32</v>
      </c>
      <c r="F79" s="6">
        <f>29.32</f>
        <v>29.32</v>
      </c>
      <c r="G79" s="6">
        <f>29.32</f>
        <v>29.32</v>
      </c>
      <c r="H79" s="6">
        <f>29.32</f>
        <v>29.32</v>
      </c>
      <c r="I79" s="6">
        <f>433.82</f>
        <v>433.82</v>
      </c>
      <c r="J79" s="6">
        <f>34.65</f>
        <v>34.65</v>
      </c>
      <c r="K79" s="6">
        <f>34.65</f>
        <v>34.65</v>
      </c>
      <c r="L79" s="6">
        <f>69.3</f>
        <v>69.3</v>
      </c>
      <c r="M79" s="5"/>
      <c r="N79" s="6">
        <f t="shared" si="17"/>
        <v>1381.5200000000004</v>
      </c>
    </row>
    <row r="80" spans="1:14" x14ac:dyDescent="0.25">
      <c r="A80" s="4" t="s">
        <v>87</v>
      </c>
      <c r="B80" s="6">
        <f>662.5</f>
        <v>662.5</v>
      </c>
      <c r="C80" s="5"/>
      <c r="D80" s="6">
        <f>29.31</f>
        <v>29.31</v>
      </c>
      <c r="E80" s="6">
        <f>29.31</f>
        <v>29.31</v>
      </c>
      <c r="F80" s="6">
        <f>29.31</f>
        <v>29.31</v>
      </c>
      <c r="G80" s="6">
        <f>29.31</f>
        <v>29.31</v>
      </c>
      <c r="H80" s="6">
        <f>29.31</f>
        <v>29.31</v>
      </c>
      <c r="I80" s="6">
        <f>433.81</f>
        <v>433.81</v>
      </c>
      <c r="J80" s="6">
        <f>34.64</f>
        <v>34.64</v>
      </c>
      <c r="K80" s="6">
        <f>34.64</f>
        <v>34.64</v>
      </c>
      <c r="L80" s="6">
        <f>69.28</f>
        <v>69.28</v>
      </c>
      <c r="M80" s="5"/>
      <c r="N80" s="6">
        <f t="shared" si="17"/>
        <v>1381.4199999999998</v>
      </c>
    </row>
    <row r="81" spans="1:14" x14ac:dyDescent="0.25">
      <c r="A81" s="4" t="s">
        <v>88</v>
      </c>
      <c r="B81" s="7">
        <f t="shared" ref="B81:M81" si="23">((B78)+(B79))+(B80)</f>
        <v>1325</v>
      </c>
      <c r="C81" s="7">
        <f t="shared" si="23"/>
        <v>0</v>
      </c>
      <c r="D81" s="7">
        <f t="shared" si="23"/>
        <v>58.629999999999995</v>
      </c>
      <c r="E81" s="7">
        <f t="shared" si="23"/>
        <v>58.629999999999995</v>
      </c>
      <c r="F81" s="7">
        <f t="shared" si="23"/>
        <v>58.629999999999995</v>
      </c>
      <c r="G81" s="7">
        <f t="shared" si="23"/>
        <v>58.629999999999995</v>
      </c>
      <c r="H81" s="7">
        <f t="shared" si="23"/>
        <v>58.629999999999995</v>
      </c>
      <c r="I81" s="7">
        <f t="shared" si="23"/>
        <v>867.63</v>
      </c>
      <c r="J81" s="7">
        <f t="shared" si="23"/>
        <v>69.289999999999992</v>
      </c>
      <c r="K81" s="7">
        <f t="shared" si="23"/>
        <v>69.289999999999992</v>
      </c>
      <c r="L81" s="7">
        <f t="shared" si="23"/>
        <v>138.57999999999998</v>
      </c>
      <c r="M81" s="7">
        <f t="shared" si="23"/>
        <v>0</v>
      </c>
      <c r="N81" s="7">
        <f t="shared" si="17"/>
        <v>2762.9400000000005</v>
      </c>
    </row>
    <row r="82" spans="1:14" x14ac:dyDescent="0.25">
      <c r="A82" s="4" t="s">
        <v>89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>
        <f t="shared" si="17"/>
        <v>0</v>
      </c>
    </row>
    <row r="83" spans="1:14" x14ac:dyDescent="0.25">
      <c r="A83" s="4" t="s">
        <v>90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6">
        <f>565.95</f>
        <v>565.95000000000005</v>
      </c>
      <c r="M83" s="5"/>
      <c r="N83" s="6">
        <f t="shared" si="17"/>
        <v>565.95000000000005</v>
      </c>
    </row>
    <row r="84" spans="1:14" x14ac:dyDescent="0.25">
      <c r="A84" s="4" t="s">
        <v>91</v>
      </c>
      <c r="B84" s="5"/>
      <c r="C84" s="5"/>
      <c r="D84" s="5"/>
      <c r="E84" s="5"/>
      <c r="F84" s="5"/>
      <c r="G84" s="5"/>
      <c r="H84" s="5"/>
      <c r="I84" s="5"/>
      <c r="J84" s="5"/>
      <c r="K84" s="6">
        <f>1250</f>
        <v>1250</v>
      </c>
      <c r="L84" s="5"/>
      <c r="M84" s="5"/>
      <c r="N84" s="6">
        <f t="shared" si="17"/>
        <v>1250</v>
      </c>
    </row>
    <row r="85" spans="1:14" x14ac:dyDescent="0.25">
      <c r="A85" s="4" t="s">
        <v>92</v>
      </c>
      <c r="B85" s="7">
        <f t="shared" ref="B85:M85" si="24">((B82)+(B83))+(B84)</f>
        <v>0</v>
      </c>
      <c r="C85" s="7">
        <f t="shared" si="24"/>
        <v>0</v>
      </c>
      <c r="D85" s="7">
        <f t="shared" si="24"/>
        <v>0</v>
      </c>
      <c r="E85" s="7">
        <f t="shared" si="24"/>
        <v>0</v>
      </c>
      <c r="F85" s="7">
        <f t="shared" si="24"/>
        <v>0</v>
      </c>
      <c r="G85" s="7">
        <f t="shared" si="24"/>
        <v>0</v>
      </c>
      <c r="H85" s="7">
        <f t="shared" si="24"/>
        <v>0</v>
      </c>
      <c r="I85" s="7">
        <f t="shared" si="24"/>
        <v>0</v>
      </c>
      <c r="J85" s="7">
        <f t="shared" si="24"/>
        <v>0</v>
      </c>
      <c r="K85" s="7">
        <f t="shared" si="24"/>
        <v>1250</v>
      </c>
      <c r="L85" s="7">
        <f t="shared" si="24"/>
        <v>565.95000000000005</v>
      </c>
      <c r="M85" s="7">
        <f t="shared" si="24"/>
        <v>0</v>
      </c>
      <c r="N85" s="7">
        <f t="shared" si="17"/>
        <v>1815.95</v>
      </c>
    </row>
    <row r="86" spans="1:14" x14ac:dyDescent="0.25">
      <c r="A86" s="4" t="s">
        <v>93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>
        <f t="shared" si="17"/>
        <v>0</v>
      </c>
    </row>
    <row r="87" spans="1:14" x14ac:dyDescent="0.25">
      <c r="A87" s="4" t="s">
        <v>94</v>
      </c>
      <c r="B87" s="6">
        <f>600</f>
        <v>600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>
        <f t="shared" si="17"/>
        <v>600</v>
      </c>
    </row>
    <row r="88" spans="1:14" x14ac:dyDescent="0.25">
      <c r="A88" s="4" t="s">
        <v>95</v>
      </c>
      <c r="B88" s="6">
        <f>700</f>
        <v>700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>
        <f t="shared" si="17"/>
        <v>700</v>
      </c>
    </row>
    <row r="89" spans="1:14" x14ac:dyDescent="0.25">
      <c r="A89" s="4" t="s">
        <v>96</v>
      </c>
      <c r="B89" s="7">
        <f t="shared" ref="B89:M89" si="25">((B86)+(B87))+(B88)</f>
        <v>1300</v>
      </c>
      <c r="C89" s="7">
        <f t="shared" si="25"/>
        <v>0</v>
      </c>
      <c r="D89" s="7">
        <f t="shared" si="25"/>
        <v>0</v>
      </c>
      <c r="E89" s="7">
        <f t="shared" si="25"/>
        <v>0</v>
      </c>
      <c r="F89" s="7">
        <f t="shared" si="25"/>
        <v>0</v>
      </c>
      <c r="G89" s="7">
        <f t="shared" si="25"/>
        <v>0</v>
      </c>
      <c r="H89" s="7">
        <f t="shared" si="25"/>
        <v>0</v>
      </c>
      <c r="I89" s="7">
        <f t="shared" si="25"/>
        <v>0</v>
      </c>
      <c r="J89" s="7">
        <f t="shared" si="25"/>
        <v>0</v>
      </c>
      <c r="K89" s="7">
        <f t="shared" si="25"/>
        <v>0</v>
      </c>
      <c r="L89" s="7">
        <f t="shared" si="25"/>
        <v>0</v>
      </c>
      <c r="M89" s="7">
        <f t="shared" si="25"/>
        <v>0</v>
      </c>
      <c r="N89" s="7">
        <f t="shared" si="17"/>
        <v>1300</v>
      </c>
    </row>
    <row r="90" spans="1:14" x14ac:dyDescent="0.25">
      <c r="A90" s="4" t="s">
        <v>97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>
        <f t="shared" si="17"/>
        <v>0</v>
      </c>
    </row>
    <row r="91" spans="1:14" x14ac:dyDescent="0.25">
      <c r="A91" s="4" t="s">
        <v>98</v>
      </c>
      <c r="B91" s="6">
        <f>955.91</f>
        <v>955.91</v>
      </c>
      <c r="C91" s="6">
        <f>199.32</f>
        <v>199.32</v>
      </c>
      <c r="D91" s="6">
        <f>199.32</f>
        <v>199.32</v>
      </c>
      <c r="E91" s="6">
        <f>203.63</f>
        <v>203.63</v>
      </c>
      <c r="F91" s="6">
        <f>203.63</f>
        <v>203.63</v>
      </c>
      <c r="G91" s="6">
        <f>215.33</f>
        <v>215.33</v>
      </c>
      <c r="H91" s="6">
        <f>215.62</f>
        <v>215.62</v>
      </c>
      <c r="I91" s="6">
        <f>215.48</f>
        <v>215.48</v>
      </c>
      <c r="J91" s="6">
        <f>252.06</f>
        <v>252.06</v>
      </c>
      <c r="K91" s="6">
        <f>256.29</f>
        <v>256.29000000000002</v>
      </c>
      <c r="L91" s="6">
        <f>427.66</f>
        <v>427.66</v>
      </c>
      <c r="M91" s="5"/>
      <c r="N91" s="6">
        <f t="shared" si="17"/>
        <v>3344.2499999999995</v>
      </c>
    </row>
    <row r="92" spans="1:14" x14ac:dyDescent="0.25">
      <c r="A92" s="4" t="s">
        <v>99</v>
      </c>
      <c r="B92" s="6">
        <f>943.75</f>
        <v>943.75</v>
      </c>
      <c r="C92" s="6">
        <f>199.29</f>
        <v>199.29</v>
      </c>
      <c r="D92" s="6">
        <f>199.29</f>
        <v>199.29</v>
      </c>
      <c r="E92" s="6">
        <f>203.63</f>
        <v>203.63</v>
      </c>
      <c r="F92" s="6">
        <f>203.63</f>
        <v>203.63</v>
      </c>
      <c r="G92" s="6">
        <f>191.93</f>
        <v>191.93</v>
      </c>
      <c r="H92" s="6">
        <f>193.36</f>
        <v>193.36</v>
      </c>
      <c r="I92" s="6">
        <f>193.19</f>
        <v>193.19</v>
      </c>
      <c r="J92" s="6">
        <f>187.76</f>
        <v>187.76</v>
      </c>
      <c r="K92" s="6">
        <f>190.58</f>
        <v>190.58</v>
      </c>
      <c r="L92" s="6">
        <f>304.82</f>
        <v>304.82</v>
      </c>
      <c r="M92" s="5"/>
      <c r="N92" s="6">
        <f t="shared" si="17"/>
        <v>3011.23</v>
      </c>
    </row>
    <row r="93" spans="1:14" x14ac:dyDescent="0.25">
      <c r="A93" s="4" t="s">
        <v>100</v>
      </c>
      <c r="B93" s="7">
        <f t="shared" ref="B93:M93" si="26">((B90)+(B91))+(B92)</f>
        <v>1899.6599999999999</v>
      </c>
      <c r="C93" s="7">
        <f t="shared" si="26"/>
        <v>398.61</v>
      </c>
      <c r="D93" s="7">
        <f t="shared" si="26"/>
        <v>398.61</v>
      </c>
      <c r="E93" s="7">
        <f t="shared" si="26"/>
        <v>407.26</v>
      </c>
      <c r="F93" s="7">
        <f t="shared" si="26"/>
        <v>407.26</v>
      </c>
      <c r="G93" s="7">
        <f t="shared" si="26"/>
        <v>407.26</v>
      </c>
      <c r="H93" s="7">
        <f t="shared" si="26"/>
        <v>408.98</v>
      </c>
      <c r="I93" s="7">
        <f t="shared" si="26"/>
        <v>408.66999999999996</v>
      </c>
      <c r="J93" s="7">
        <f t="shared" si="26"/>
        <v>439.82</v>
      </c>
      <c r="K93" s="7">
        <f t="shared" si="26"/>
        <v>446.87</v>
      </c>
      <c r="L93" s="7">
        <f t="shared" si="26"/>
        <v>732.48</v>
      </c>
      <c r="M93" s="7">
        <f t="shared" si="26"/>
        <v>0</v>
      </c>
      <c r="N93" s="7">
        <f t="shared" si="17"/>
        <v>6355.4800000000014</v>
      </c>
    </row>
    <row r="94" spans="1:14" x14ac:dyDescent="0.25">
      <c r="A94" s="4" t="s">
        <v>101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6">
        <f t="shared" ref="N94:N119" si="27">(((((((((((B94)+(C94))+(D94))+(E94))+(F94))+(G94))+(H94))+(I94))+(J94))+(K94))+(L94))+(M94)</f>
        <v>0</v>
      </c>
    </row>
    <row r="95" spans="1:14" x14ac:dyDescent="0.25">
      <c r="A95" s="4" t="s">
        <v>102</v>
      </c>
      <c r="B95" s="6">
        <f>79.2</f>
        <v>79.2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6">
        <f t="shared" si="27"/>
        <v>79.2</v>
      </c>
    </row>
    <row r="96" spans="1:14" x14ac:dyDescent="0.25">
      <c r="A96" s="4" t="s">
        <v>103</v>
      </c>
      <c r="B96" s="6">
        <f>52.8</f>
        <v>52.8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6">
        <f t="shared" si="27"/>
        <v>52.8</v>
      </c>
    </row>
    <row r="97" spans="1:14" x14ac:dyDescent="0.25">
      <c r="A97" s="4" t="s">
        <v>104</v>
      </c>
      <c r="B97" s="7">
        <f t="shared" ref="B97:M97" si="28">((B94)+(B95))+(B96)</f>
        <v>132</v>
      </c>
      <c r="C97" s="7">
        <f t="shared" si="28"/>
        <v>0</v>
      </c>
      <c r="D97" s="7">
        <f t="shared" si="28"/>
        <v>0</v>
      </c>
      <c r="E97" s="7">
        <f t="shared" si="28"/>
        <v>0</v>
      </c>
      <c r="F97" s="7">
        <f t="shared" si="28"/>
        <v>0</v>
      </c>
      <c r="G97" s="7">
        <f t="shared" si="28"/>
        <v>0</v>
      </c>
      <c r="H97" s="7">
        <f t="shared" si="28"/>
        <v>0</v>
      </c>
      <c r="I97" s="7">
        <f t="shared" si="28"/>
        <v>0</v>
      </c>
      <c r="J97" s="7">
        <f t="shared" si="28"/>
        <v>0</v>
      </c>
      <c r="K97" s="7">
        <f t="shared" si="28"/>
        <v>0</v>
      </c>
      <c r="L97" s="7">
        <f t="shared" si="28"/>
        <v>0</v>
      </c>
      <c r="M97" s="7">
        <f t="shared" si="28"/>
        <v>0</v>
      </c>
      <c r="N97" s="7">
        <f t="shared" si="27"/>
        <v>132</v>
      </c>
    </row>
    <row r="98" spans="1:14" x14ac:dyDescent="0.25">
      <c r="A98" s="4" t="s">
        <v>105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6">
        <f t="shared" si="27"/>
        <v>0</v>
      </c>
    </row>
    <row r="99" spans="1:14" x14ac:dyDescent="0.25">
      <c r="A99" s="4" t="s">
        <v>106</v>
      </c>
      <c r="B99" s="6">
        <f>8612.41</f>
        <v>8612.41</v>
      </c>
      <c r="C99" s="5"/>
      <c r="D99" s="6">
        <f>3875</f>
        <v>3875</v>
      </c>
      <c r="E99" s="5"/>
      <c r="F99" s="5"/>
      <c r="G99" s="5"/>
      <c r="H99" s="5"/>
      <c r="I99" s="5"/>
      <c r="J99" s="6">
        <f>811.88</f>
        <v>811.88</v>
      </c>
      <c r="K99" s="6">
        <f>541.25</f>
        <v>541.25</v>
      </c>
      <c r="L99" s="5"/>
      <c r="M99" s="5"/>
      <c r="N99" s="6">
        <f t="shared" si="27"/>
        <v>13840.539999999999</v>
      </c>
    </row>
    <row r="100" spans="1:14" x14ac:dyDescent="0.25">
      <c r="A100" s="4" t="s">
        <v>107</v>
      </c>
      <c r="B100" s="6">
        <f>10631.89</f>
        <v>10631.89</v>
      </c>
      <c r="C100" s="5"/>
      <c r="D100" s="5"/>
      <c r="E100" s="5"/>
      <c r="F100" s="5"/>
      <c r="G100" s="5"/>
      <c r="H100" s="6">
        <f>580</f>
        <v>580</v>
      </c>
      <c r="I100" s="5"/>
      <c r="J100" s="5"/>
      <c r="K100" s="5"/>
      <c r="L100" s="5"/>
      <c r="M100" s="5"/>
      <c r="N100" s="6">
        <f t="shared" si="27"/>
        <v>11211.89</v>
      </c>
    </row>
    <row r="101" spans="1:14" x14ac:dyDescent="0.25">
      <c r="A101" s="4" t="s">
        <v>108</v>
      </c>
      <c r="B101" s="7">
        <f t="shared" ref="B101:M101" si="29">((B98)+(B99))+(B100)</f>
        <v>19244.3</v>
      </c>
      <c r="C101" s="7">
        <f t="shared" si="29"/>
        <v>0</v>
      </c>
      <c r="D101" s="7">
        <f t="shared" si="29"/>
        <v>3875</v>
      </c>
      <c r="E101" s="7">
        <f t="shared" si="29"/>
        <v>0</v>
      </c>
      <c r="F101" s="7">
        <f t="shared" si="29"/>
        <v>0</v>
      </c>
      <c r="G101" s="7">
        <f t="shared" si="29"/>
        <v>0</v>
      </c>
      <c r="H101" s="7">
        <f t="shared" si="29"/>
        <v>580</v>
      </c>
      <c r="I101" s="7">
        <f t="shared" si="29"/>
        <v>0</v>
      </c>
      <c r="J101" s="7">
        <f t="shared" si="29"/>
        <v>811.88</v>
      </c>
      <c r="K101" s="7">
        <f t="shared" si="29"/>
        <v>541.25</v>
      </c>
      <c r="L101" s="7">
        <f t="shared" si="29"/>
        <v>0</v>
      </c>
      <c r="M101" s="7">
        <f t="shared" si="29"/>
        <v>0</v>
      </c>
      <c r="N101" s="7">
        <f t="shared" si="27"/>
        <v>25052.43</v>
      </c>
    </row>
    <row r="102" spans="1:14" x14ac:dyDescent="0.25">
      <c r="A102" s="4" t="s">
        <v>109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6">
        <f t="shared" si="27"/>
        <v>0</v>
      </c>
    </row>
    <row r="103" spans="1:14" x14ac:dyDescent="0.25">
      <c r="A103" s="4" t="s">
        <v>110</v>
      </c>
      <c r="B103" s="6">
        <f>12632.59</f>
        <v>12632.59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6">
        <f t="shared" si="27"/>
        <v>12632.59</v>
      </c>
    </row>
    <row r="104" spans="1:14" x14ac:dyDescent="0.25">
      <c r="A104" s="4" t="s">
        <v>111</v>
      </c>
      <c r="B104" s="6">
        <f>4751</f>
        <v>4751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6">
        <f t="shared" si="27"/>
        <v>4751</v>
      </c>
    </row>
    <row r="105" spans="1:14" x14ac:dyDescent="0.25">
      <c r="A105" s="4" t="s">
        <v>112</v>
      </c>
      <c r="B105" s="7">
        <f t="shared" ref="B105:M105" si="30">((B102)+(B103))+(B104)</f>
        <v>17383.59</v>
      </c>
      <c r="C105" s="7">
        <f t="shared" si="30"/>
        <v>0</v>
      </c>
      <c r="D105" s="7">
        <f t="shared" si="30"/>
        <v>0</v>
      </c>
      <c r="E105" s="7">
        <f t="shared" si="30"/>
        <v>0</v>
      </c>
      <c r="F105" s="7">
        <f t="shared" si="30"/>
        <v>0</v>
      </c>
      <c r="G105" s="7">
        <f t="shared" si="30"/>
        <v>0</v>
      </c>
      <c r="H105" s="7">
        <f t="shared" si="30"/>
        <v>0</v>
      </c>
      <c r="I105" s="7">
        <f t="shared" si="30"/>
        <v>0</v>
      </c>
      <c r="J105" s="7">
        <f t="shared" si="30"/>
        <v>0</v>
      </c>
      <c r="K105" s="7">
        <f t="shared" si="30"/>
        <v>0</v>
      </c>
      <c r="L105" s="7">
        <f t="shared" si="30"/>
        <v>0</v>
      </c>
      <c r="M105" s="7">
        <f t="shared" si="30"/>
        <v>0</v>
      </c>
      <c r="N105" s="7">
        <f t="shared" si="27"/>
        <v>17383.59</v>
      </c>
    </row>
    <row r="106" spans="1:14" x14ac:dyDescent="0.25">
      <c r="A106" s="4" t="s">
        <v>113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6">
        <f t="shared" si="27"/>
        <v>0</v>
      </c>
    </row>
    <row r="107" spans="1:14" x14ac:dyDescent="0.25">
      <c r="A107" s="4" t="s">
        <v>114</v>
      </c>
      <c r="B107" s="5"/>
      <c r="C107" s="5"/>
      <c r="D107" s="5"/>
      <c r="E107" s="5"/>
      <c r="F107" s="5"/>
      <c r="G107" s="6">
        <f>126.55</f>
        <v>126.55</v>
      </c>
      <c r="H107" s="5"/>
      <c r="I107" s="6">
        <f>46.98</f>
        <v>46.98</v>
      </c>
      <c r="J107" s="5"/>
      <c r="K107" s="5"/>
      <c r="L107" s="5"/>
      <c r="M107" s="5"/>
      <c r="N107" s="6">
        <f t="shared" si="27"/>
        <v>173.53</v>
      </c>
    </row>
    <row r="108" spans="1:14" x14ac:dyDescent="0.25">
      <c r="A108" s="4" t="s">
        <v>115</v>
      </c>
      <c r="B108" s="5"/>
      <c r="C108" s="5"/>
      <c r="D108" s="5"/>
      <c r="E108" s="5"/>
      <c r="F108" s="5"/>
      <c r="G108" s="6">
        <f>84.37</f>
        <v>84.37</v>
      </c>
      <c r="H108" s="5"/>
      <c r="I108" s="6">
        <f>31.32</f>
        <v>31.32</v>
      </c>
      <c r="J108" s="5"/>
      <c r="K108" s="5"/>
      <c r="L108" s="5"/>
      <c r="M108" s="5"/>
      <c r="N108" s="6">
        <f t="shared" si="27"/>
        <v>115.69</v>
      </c>
    </row>
    <row r="109" spans="1:14" x14ac:dyDescent="0.25">
      <c r="A109" s="4" t="s">
        <v>116</v>
      </c>
      <c r="B109" s="7">
        <f t="shared" ref="B109:M109" si="31">((B106)+(B107))+(B108)</f>
        <v>0</v>
      </c>
      <c r="C109" s="7">
        <f t="shared" si="31"/>
        <v>0</v>
      </c>
      <c r="D109" s="7">
        <f t="shared" si="31"/>
        <v>0</v>
      </c>
      <c r="E109" s="7">
        <f t="shared" si="31"/>
        <v>0</v>
      </c>
      <c r="F109" s="7">
        <f t="shared" si="31"/>
        <v>0</v>
      </c>
      <c r="G109" s="7">
        <f t="shared" si="31"/>
        <v>210.92000000000002</v>
      </c>
      <c r="H109" s="7">
        <f t="shared" si="31"/>
        <v>0</v>
      </c>
      <c r="I109" s="7">
        <f t="shared" si="31"/>
        <v>78.3</v>
      </c>
      <c r="J109" s="7">
        <f t="shared" si="31"/>
        <v>0</v>
      </c>
      <c r="K109" s="7">
        <f t="shared" si="31"/>
        <v>0</v>
      </c>
      <c r="L109" s="7">
        <f t="shared" si="31"/>
        <v>0</v>
      </c>
      <c r="M109" s="7">
        <f t="shared" si="31"/>
        <v>0</v>
      </c>
      <c r="N109" s="7">
        <f t="shared" si="27"/>
        <v>289.22000000000003</v>
      </c>
    </row>
    <row r="110" spans="1:14" x14ac:dyDescent="0.25">
      <c r="A110" s="4" t="s">
        <v>117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6">
        <f t="shared" si="27"/>
        <v>0</v>
      </c>
    </row>
    <row r="111" spans="1:14" x14ac:dyDescent="0.25">
      <c r="A111" s="4" t="s">
        <v>118</v>
      </c>
      <c r="B111" s="6">
        <f>1245.25</f>
        <v>1245.25</v>
      </c>
      <c r="C111" s="6">
        <f>1245.55</f>
        <v>1245.55</v>
      </c>
      <c r="D111" s="6">
        <f>1245.16</f>
        <v>1245.1600000000001</v>
      </c>
      <c r="E111" s="6">
        <f>1245.86</f>
        <v>1245.8599999999999</v>
      </c>
      <c r="F111" s="6">
        <f>3552.5</f>
        <v>3552.5</v>
      </c>
      <c r="G111" s="6">
        <f>3488.45</f>
        <v>3488.45</v>
      </c>
      <c r="H111" s="6">
        <f>1750.43</f>
        <v>1750.43</v>
      </c>
      <c r="I111" s="6">
        <f>3573.34</f>
        <v>3573.34</v>
      </c>
      <c r="J111" s="5"/>
      <c r="K111" s="6">
        <f>3491.01</f>
        <v>3491.01</v>
      </c>
      <c r="L111" s="6">
        <f>1719.95</f>
        <v>1719.95</v>
      </c>
      <c r="M111" s="5"/>
      <c r="N111" s="6">
        <f t="shared" si="27"/>
        <v>22557.500000000004</v>
      </c>
    </row>
    <row r="112" spans="1:14" x14ac:dyDescent="0.25">
      <c r="A112" s="4" t="s">
        <v>119</v>
      </c>
      <c r="B112" s="6">
        <f>639.31</f>
        <v>639.30999999999995</v>
      </c>
      <c r="C112" s="6">
        <f>639.31</f>
        <v>639.30999999999995</v>
      </c>
      <c r="D112" s="6">
        <f>639.31</f>
        <v>639.30999999999995</v>
      </c>
      <c r="E112" s="6">
        <f>639.31</f>
        <v>639.30999999999995</v>
      </c>
      <c r="F112" s="6">
        <f>208.59</f>
        <v>208.59</v>
      </c>
      <c r="G112" s="6">
        <f>204.81</f>
        <v>204.81</v>
      </c>
      <c r="H112" s="6">
        <f>102.79</f>
        <v>102.79</v>
      </c>
      <c r="I112" s="6">
        <f>209.7</f>
        <v>209.7</v>
      </c>
      <c r="J112" s="5"/>
      <c r="K112" s="6">
        <f>204.78</f>
        <v>204.78</v>
      </c>
      <c r="L112" s="6">
        <f>100.91</f>
        <v>100.91</v>
      </c>
      <c r="M112" s="5"/>
      <c r="N112" s="6">
        <f t="shared" si="27"/>
        <v>3588.8199999999997</v>
      </c>
    </row>
    <row r="113" spans="1:14" x14ac:dyDescent="0.25">
      <c r="A113" s="4" t="s">
        <v>120</v>
      </c>
      <c r="B113" s="7">
        <f t="shared" ref="B113:M113" si="32">((B110)+(B111))+(B112)</f>
        <v>1884.56</v>
      </c>
      <c r="C113" s="7">
        <f t="shared" si="32"/>
        <v>1884.86</v>
      </c>
      <c r="D113" s="7">
        <f t="shared" si="32"/>
        <v>1884.47</v>
      </c>
      <c r="E113" s="7">
        <f t="shared" si="32"/>
        <v>1885.1699999999998</v>
      </c>
      <c r="F113" s="7">
        <f t="shared" si="32"/>
        <v>3761.09</v>
      </c>
      <c r="G113" s="7">
        <f t="shared" si="32"/>
        <v>3693.2599999999998</v>
      </c>
      <c r="H113" s="7">
        <f t="shared" si="32"/>
        <v>1853.22</v>
      </c>
      <c r="I113" s="7">
        <f t="shared" si="32"/>
        <v>3783.04</v>
      </c>
      <c r="J113" s="7">
        <f t="shared" si="32"/>
        <v>0</v>
      </c>
      <c r="K113" s="7">
        <f t="shared" si="32"/>
        <v>3695.7900000000004</v>
      </c>
      <c r="L113" s="7">
        <f t="shared" si="32"/>
        <v>1820.8600000000001</v>
      </c>
      <c r="M113" s="7">
        <f t="shared" si="32"/>
        <v>0</v>
      </c>
      <c r="N113" s="7">
        <f t="shared" si="27"/>
        <v>26146.320000000003</v>
      </c>
    </row>
    <row r="114" spans="1:14" x14ac:dyDescent="0.25">
      <c r="A114" s="4" t="s">
        <v>121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6">
        <f t="shared" si="27"/>
        <v>0</v>
      </c>
    </row>
    <row r="115" spans="1:14" x14ac:dyDescent="0.25">
      <c r="A115" s="4" t="s">
        <v>122</v>
      </c>
      <c r="B115" s="5"/>
      <c r="C115" s="5"/>
      <c r="D115" s="5"/>
      <c r="E115" s="6">
        <f>75</f>
        <v>75</v>
      </c>
      <c r="F115" s="5"/>
      <c r="G115" s="6">
        <f>600</f>
        <v>600</v>
      </c>
      <c r="H115" s="5"/>
      <c r="I115" s="5"/>
      <c r="J115" s="5"/>
      <c r="K115" s="5"/>
      <c r="L115" s="5"/>
      <c r="M115" s="5"/>
      <c r="N115" s="6">
        <f t="shared" si="27"/>
        <v>675</v>
      </c>
    </row>
    <row r="116" spans="1:14" x14ac:dyDescent="0.25">
      <c r="A116" s="4" t="s">
        <v>123</v>
      </c>
      <c r="B116" s="5"/>
      <c r="C116" s="5"/>
      <c r="D116" s="5"/>
      <c r="E116" s="6">
        <f>50</f>
        <v>50</v>
      </c>
      <c r="F116" s="5"/>
      <c r="G116" s="6">
        <f>400</f>
        <v>400</v>
      </c>
      <c r="H116" s="5"/>
      <c r="I116" s="5"/>
      <c r="J116" s="5"/>
      <c r="K116" s="5"/>
      <c r="L116" s="5"/>
      <c r="M116" s="5"/>
      <c r="N116" s="6">
        <f t="shared" si="27"/>
        <v>450</v>
      </c>
    </row>
    <row r="117" spans="1:14" x14ac:dyDescent="0.25">
      <c r="A117" s="4" t="s">
        <v>124</v>
      </c>
      <c r="B117" s="7">
        <f t="shared" ref="B117:M117" si="33">((B114)+(B115))+(B116)</f>
        <v>0</v>
      </c>
      <c r="C117" s="7">
        <f t="shared" si="33"/>
        <v>0</v>
      </c>
      <c r="D117" s="7">
        <f t="shared" si="33"/>
        <v>0</v>
      </c>
      <c r="E117" s="7">
        <f t="shared" si="33"/>
        <v>125</v>
      </c>
      <c r="F117" s="7">
        <f t="shared" si="33"/>
        <v>0</v>
      </c>
      <c r="G117" s="7">
        <f t="shared" si="33"/>
        <v>1000</v>
      </c>
      <c r="H117" s="7">
        <f t="shared" si="33"/>
        <v>0</v>
      </c>
      <c r="I117" s="7">
        <f t="shared" si="33"/>
        <v>0</v>
      </c>
      <c r="J117" s="7">
        <f t="shared" si="33"/>
        <v>0</v>
      </c>
      <c r="K117" s="7">
        <f t="shared" si="33"/>
        <v>0</v>
      </c>
      <c r="L117" s="7">
        <f t="shared" si="33"/>
        <v>0</v>
      </c>
      <c r="M117" s="7">
        <f t="shared" si="33"/>
        <v>0</v>
      </c>
      <c r="N117" s="7">
        <f t="shared" si="27"/>
        <v>1125</v>
      </c>
    </row>
    <row r="118" spans="1:14" x14ac:dyDescent="0.25">
      <c r="A118" s="4" t="s">
        <v>125</v>
      </c>
      <c r="B118" s="7">
        <f t="shared" ref="B118:M118" si="34">(((((((((((((B65)+(B69))+(B73))+(B77))+(B81))+(B85))+(B89))+(B93))+(B97))+(B101))+(B105))+(B109))+(B113))+(B117)</f>
        <v>46289.849999999991</v>
      </c>
      <c r="C118" s="7">
        <f t="shared" si="34"/>
        <v>2366.71</v>
      </c>
      <c r="D118" s="7">
        <f t="shared" si="34"/>
        <v>14759.92</v>
      </c>
      <c r="E118" s="7">
        <f t="shared" si="34"/>
        <v>23915.919999999998</v>
      </c>
      <c r="F118" s="7">
        <f t="shared" si="34"/>
        <v>30511.200000000001</v>
      </c>
      <c r="G118" s="7">
        <f t="shared" si="34"/>
        <v>34072.080000000002</v>
      </c>
      <c r="H118" s="7">
        <f t="shared" si="34"/>
        <v>37470.83</v>
      </c>
      <c r="I118" s="7">
        <f t="shared" si="34"/>
        <v>35856.939999999995</v>
      </c>
      <c r="J118" s="7">
        <f t="shared" si="34"/>
        <v>12277.839999999998</v>
      </c>
      <c r="K118" s="7">
        <f t="shared" si="34"/>
        <v>20379.270000000004</v>
      </c>
      <c r="L118" s="7">
        <f t="shared" si="34"/>
        <v>35209.780000000006</v>
      </c>
      <c r="M118" s="7">
        <f t="shared" si="34"/>
        <v>0</v>
      </c>
      <c r="N118" s="7">
        <f t="shared" si="27"/>
        <v>293110.34000000003</v>
      </c>
    </row>
    <row r="119" spans="1:14" x14ac:dyDescent="0.25">
      <c r="A119" s="4" t="s">
        <v>126</v>
      </c>
      <c r="B119" s="7">
        <f t="shared" ref="B119:M119" si="35">(B60)-(B118)</f>
        <v>28941.539999999994</v>
      </c>
      <c r="C119" s="7">
        <f t="shared" si="35"/>
        <v>-35798.53</v>
      </c>
      <c r="D119" s="7">
        <f t="shared" si="35"/>
        <v>34550.620000000003</v>
      </c>
      <c r="E119" s="7">
        <f t="shared" si="35"/>
        <v>12636.590000000011</v>
      </c>
      <c r="F119" s="7">
        <f t="shared" si="35"/>
        <v>-8476.5299999999952</v>
      </c>
      <c r="G119" s="7">
        <f t="shared" si="35"/>
        <v>-74213.359999999986</v>
      </c>
      <c r="H119" s="7">
        <f t="shared" si="35"/>
        <v>-16255.689999999999</v>
      </c>
      <c r="I119" s="7">
        <f t="shared" si="35"/>
        <v>-33948.609999999986</v>
      </c>
      <c r="J119" s="7">
        <f t="shared" si="35"/>
        <v>5713.9499999999989</v>
      </c>
      <c r="K119" s="7">
        <f t="shared" si="35"/>
        <v>-98495.450000000012</v>
      </c>
      <c r="L119" s="7">
        <f t="shared" si="35"/>
        <v>-14275.990000000005</v>
      </c>
      <c r="M119" s="7">
        <f t="shared" si="35"/>
        <v>0</v>
      </c>
      <c r="N119" s="7">
        <f t="shared" si="27"/>
        <v>-199621.45999999996</v>
      </c>
    </row>
    <row r="120" spans="1:14" x14ac:dyDescent="0.25">
      <c r="A120" s="4" t="s">
        <v>127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25">
      <c r="A121" s="4" t="s">
        <v>128</v>
      </c>
      <c r="B121" s="6">
        <f>205.63</f>
        <v>205.63</v>
      </c>
      <c r="C121" s="6">
        <f>192.57</f>
        <v>192.57</v>
      </c>
      <c r="D121" s="6">
        <f>3558.01</f>
        <v>3558.01</v>
      </c>
      <c r="E121" s="5"/>
      <c r="F121" s="5"/>
      <c r="G121" s="5"/>
      <c r="H121" s="5"/>
      <c r="I121" s="5"/>
      <c r="J121" s="5"/>
      <c r="K121" s="5"/>
      <c r="L121" s="5"/>
      <c r="M121" s="5"/>
      <c r="N121" s="6">
        <f>(((((((((((B121)+(C121))+(D121))+(E121))+(F121))+(G121))+(H121))+(I121))+(J121))+(K121))+(L121))+(M121)</f>
        <v>3956.21</v>
      </c>
    </row>
    <row r="122" spans="1:14" x14ac:dyDescent="0.25">
      <c r="A122" s="4" t="s">
        <v>129</v>
      </c>
      <c r="B122" s="7">
        <f t="shared" ref="B122:M122" si="36">B121</f>
        <v>205.63</v>
      </c>
      <c r="C122" s="7">
        <f t="shared" si="36"/>
        <v>192.57</v>
      </c>
      <c r="D122" s="7">
        <f t="shared" si="36"/>
        <v>3558.01</v>
      </c>
      <c r="E122" s="7">
        <f t="shared" si="36"/>
        <v>0</v>
      </c>
      <c r="F122" s="7">
        <f t="shared" si="36"/>
        <v>0</v>
      </c>
      <c r="G122" s="7">
        <f t="shared" si="36"/>
        <v>0</v>
      </c>
      <c r="H122" s="7">
        <f t="shared" si="36"/>
        <v>0</v>
      </c>
      <c r="I122" s="7">
        <f t="shared" si="36"/>
        <v>0</v>
      </c>
      <c r="J122" s="7">
        <f t="shared" si="36"/>
        <v>0</v>
      </c>
      <c r="K122" s="7">
        <f t="shared" si="36"/>
        <v>0</v>
      </c>
      <c r="L122" s="7">
        <f t="shared" si="36"/>
        <v>0</v>
      </c>
      <c r="M122" s="7">
        <f t="shared" si="36"/>
        <v>0</v>
      </c>
      <c r="N122" s="7">
        <f>(((((((((((B122)+(C122))+(D122))+(E122))+(F122))+(G122))+(H122))+(I122))+(J122))+(K122))+(L122))+(M122)</f>
        <v>3956.21</v>
      </c>
    </row>
    <row r="123" spans="1:14" x14ac:dyDescent="0.25">
      <c r="A123" s="4" t="s">
        <v>130</v>
      </c>
      <c r="B123" s="7">
        <f t="shared" ref="B123:M123" si="37">(B122)-(0)</f>
        <v>205.63</v>
      </c>
      <c r="C123" s="7">
        <f t="shared" si="37"/>
        <v>192.57</v>
      </c>
      <c r="D123" s="7">
        <f t="shared" si="37"/>
        <v>3558.01</v>
      </c>
      <c r="E123" s="7">
        <f t="shared" si="37"/>
        <v>0</v>
      </c>
      <c r="F123" s="7">
        <f t="shared" si="37"/>
        <v>0</v>
      </c>
      <c r="G123" s="7">
        <f t="shared" si="37"/>
        <v>0</v>
      </c>
      <c r="H123" s="7">
        <f t="shared" si="37"/>
        <v>0</v>
      </c>
      <c r="I123" s="7">
        <f t="shared" si="37"/>
        <v>0</v>
      </c>
      <c r="J123" s="7">
        <f t="shared" si="37"/>
        <v>0</v>
      </c>
      <c r="K123" s="7">
        <f t="shared" si="37"/>
        <v>0</v>
      </c>
      <c r="L123" s="7">
        <f t="shared" si="37"/>
        <v>0</v>
      </c>
      <c r="M123" s="7">
        <f t="shared" si="37"/>
        <v>0</v>
      </c>
      <c r="N123" s="7">
        <f>(((((((((((B123)+(C123))+(D123))+(E123))+(F123))+(G123))+(H123))+(I123))+(J123))+(K123))+(L123))+(M123)</f>
        <v>3956.21</v>
      </c>
    </row>
    <row r="124" spans="1:14" x14ac:dyDescent="0.25">
      <c r="A124" s="4" t="s">
        <v>131</v>
      </c>
      <c r="B124" s="8">
        <f t="shared" ref="B124:M124" si="38">(B119)+(B123)</f>
        <v>29147.169999999995</v>
      </c>
      <c r="C124" s="8">
        <f t="shared" si="38"/>
        <v>-35605.96</v>
      </c>
      <c r="D124" s="8">
        <f t="shared" si="38"/>
        <v>38108.630000000005</v>
      </c>
      <c r="E124" s="8">
        <f t="shared" si="38"/>
        <v>12636.590000000011</v>
      </c>
      <c r="F124" s="8">
        <f t="shared" si="38"/>
        <v>-8476.5299999999952</v>
      </c>
      <c r="G124" s="8">
        <f t="shared" si="38"/>
        <v>-74213.359999999986</v>
      </c>
      <c r="H124" s="8">
        <f t="shared" si="38"/>
        <v>-16255.689999999999</v>
      </c>
      <c r="I124" s="8">
        <f t="shared" si="38"/>
        <v>-33948.609999999986</v>
      </c>
      <c r="J124" s="8">
        <f t="shared" si="38"/>
        <v>5713.9499999999989</v>
      </c>
      <c r="K124" s="8">
        <f t="shared" si="38"/>
        <v>-98495.450000000012</v>
      </c>
      <c r="L124" s="8">
        <f t="shared" si="38"/>
        <v>-14275.990000000005</v>
      </c>
      <c r="M124" s="8">
        <f t="shared" si="38"/>
        <v>0</v>
      </c>
      <c r="N124" s="8">
        <f>(((((((((((B124)+(C124))+(D124))+(E124))+(F124))+(G124))+(H124))+(I124))+(J124))+(K124))+(L124))+(M124)</f>
        <v>-195665.25</v>
      </c>
    </row>
    <row r="125" spans="1:14" x14ac:dyDescent="0.25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5">
      <c r="A128" s="9" t="s">
        <v>132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</sheetData>
  <mergeCells count="4">
    <mergeCell ref="A128:N128"/>
    <mergeCell ref="A1:N1"/>
    <mergeCell ref="A2:N2"/>
    <mergeCell ref="A3:N3"/>
  </mergeCells>
  <pageMargins left="0.2" right="0.2" top="0.75" bottom="0.75" header="0.3" footer="0.3"/>
  <pageSetup paperSize="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Profit and Loss by Month</vt:lpstr>
      <vt:lpstr>'Profit and Loss by Month'!Print_Area</vt:lpstr>
      <vt:lpstr>'Profit and Loss by Month'!Print_Titles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Garceau, Brian</cp:lastModifiedBy>
  <cp:lastPrinted>2024-12-06T20:15:45Z</cp:lastPrinted>
  <dcterms:created xsi:type="dcterms:W3CDTF">2024-12-04T22:55:15Z</dcterms:created>
  <dcterms:modified xsi:type="dcterms:W3CDTF">2024-12-06T20:15:49Z</dcterms:modified>
</cp:coreProperties>
</file>